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Fall 2014\Exam 1\"/>
    </mc:Choice>
  </mc:AlternateContent>
  <bookViews>
    <workbookView xWindow="3825" yWindow="645" windowWidth="20115" windowHeight="7935" tabRatio="887"/>
  </bookViews>
  <sheets>
    <sheet name="INSTRUCTIONS" sheetId="8" r:id="rId1"/>
    <sheet name="Prob 1 - 25 Pts" sheetId="1" r:id="rId2"/>
    <sheet name="Prob 2 - 25 Pts " sheetId="6" r:id="rId3"/>
    <sheet name="Scenario Summary" sheetId="23" r:id="rId4"/>
    <sheet name="Prob 3 - 10 Pts" sheetId="7" r:id="rId5"/>
    <sheet name="Prob 4 - 10 - Pts" sheetId="21" r:id="rId6"/>
    <sheet name="Prob 5 - 10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1 - 25 Pts'!$B$69:$E$95</definedName>
    <definedName name="_xlnm.Print_Area" localSheetId="2">'Prob 2 - 25 Pts '!$B$20:$N$56</definedName>
  </definedNames>
  <calcPr calcId="152511"/>
</workbook>
</file>

<file path=xl/calcChain.xml><?xml version="1.0" encoding="utf-8"?>
<calcChain xmlns="http://schemas.openxmlformats.org/spreadsheetml/2006/main">
  <c r="C17" i="19" l="1"/>
  <c r="C16" i="19"/>
  <c r="C15" i="19"/>
  <c r="C14" i="19"/>
  <c r="C13" i="19"/>
  <c r="C12" i="19"/>
  <c r="C11" i="19"/>
  <c r="C10" i="19"/>
  <c r="C9" i="19"/>
  <c r="C8" i="19"/>
  <c r="C7" i="19"/>
  <c r="C6" i="19" l="1"/>
  <c r="C5" i="19"/>
  <c r="C4" i="19"/>
  <c r="D27" i="22" l="1"/>
  <c r="C27" i="22"/>
  <c r="D20" i="21"/>
  <c r="E20" i="21" s="1"/>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4" i="21" l="1"/>
  <c r="C26" i="21"/>
  <c r="D91"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8" i="1" s="1"/>
  <c r="D46" i="1"/>
  <c r="D77" i="1" s="1"/>
  <c r="E66" i="1"/>
  <c r="E60" i="1"/>
  <c r="E62" i="1" s="1"/>
  <c r="E52" i="1"/>
  <c r="G32" i="1"/>
  <c r="G30" i="1"/>
  <c r="G28" i="1"/>
  <c r="G27" i="1"/>
  <c r="G26" i="1"/>
  <c r="G24" i="1"/>
  <c r="G23" i="1"/>
  <c r="D30" i="1"/>
  <c r="D28" i="1"/>
  <c r="D27" i="1"/>
  <c r="D26" i="1"/>
  <c r="D23" i="1"/>
  <c r="E25" i="1"/>
  <c r="G25" i="1" s="1"/>
  <c r="E67" i="1" l="1"/>
  <c r="G62" i="1" s="1"/>
  <c r="G46" i="6"/>
  <c r="H46" i="6" s="1"/>
  <c r="I46" i="6" s="1"/>
  <c r="J46" i="6" s="1"/>
  <c r="F26" i="1"/>
  <c r="F23" i="1"/>
  <c r="F27" i="1"/>
  <c r="E29" i="1"/>
  <c r="D24" i="1"/>
  <c r="F24" i="1" s="1"/>
  <c r="F30" i="1"/>
  <c r="D60" i="1"/>
  <c r="D62" i="1" s="1"/>
  <c r="D51" i="1"/>
  <c r="D52" i="1" s="1"/>
  <c r="D75" i="1"/>
  <c r="J38" i="6"/>
  <c r="J43" i="6" s="1"/>
  <c r="M43" i="6"/>
  <c r="F43" i="6"/>
  <c r="F44" i="6" s="1"/>
  <c r="F45" i="6" s="1"/>
  <c r="F48" i="6" s="1"/>
  <c r="F52" i="6" s="1"/>
  <c r="K6" i="7" s="1"/>
  <c r="N43" i="6"/>
  <c r="H38" i="6"/>
  <c r="H43" i="6" s="1"/>
  <c r="L43" i="6"/>
  <c r="G38" i="6"/>
  <c r="G43" i="6" s="1"/>
  <c r="G44" i="6" s="1"/>
  <c r="K43" i="6"/>
  <c r="I38" i="6"/>
  <c r="I43" i="6" s="1"/>
  <c r="F28" i="1"/>
  <c r="J42" i="6"/>
  <c r="I42" i="6"/>
  <c r="H44" i="6" l="1"/>
  <c r="H45" i="6" s="1"/>
  <c r="H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F53" i="6"/>
  <c r="K7" i="7" s="1"/>
  <c r="J44" i="6"/>
  <c r="J45" i="6" s="1"/>
  <c r="I44" i="6"/>
  <c r="I45" i="6" s="1"/>
  <c r="K46" i="6"/>
  <c r="K42" i="6"/>
  <c r="K44" i="6" s="1"/>
  <c r="K45" i="6" s="1"/>
  <c r="D29" i="1" l="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s="1"/>
  <c r="D32" i="1" l="1"/>
  <c r="F32" i="1" s="1"/>
  <c r="K48" i="6"/>
  <c r="J53" i="6"/>
  <c r="O7" i="7" s="1"/>
  <c r="J52" i="6"/>
  <c r="O6" i="7" s="1"/>
  <c r="N46" i="6"/>
  <c r="N42" i="6"/>
  <c r="N44" i="6" s="1"/>
  <c r="D33" i="1" l="1"/>
  <c r="D65" i="1" s="1"/>
  <c r="D66" i="1" s="1"/>
  <c r="D67" i="1" s="1"/>
  <c r="F66" i="1" s="1"/>
  <c r="N45" i="6"/>
  <c r="L48" i="6"/>
  <c r="K52" i="6"/>
  <c r="P6" i="7" s="1"/>
  <c r="K53" i="6"/>
  <c r="P7" i="7" s="1"/>
  <c r="F33" i="1" l="1"/>
  <c r="D35" i="1"/>
  <c r="F67" i="1"/>
  <c r="F48" i="1"/>
  <c r="F52" i="1"/>
  <c r="F61" i="1"/>
  <c r="F57" i="1"/>
  <c r="D54" i="1"/>
  <c r="F58" i="1"/>
  <c r="F45" i="1"/>
  <c r="F60" i="1"/>
  <c r="F62" i="1"/>
  <c r="F59" i="1"/>
  <c r="F47" i="1"/>
  <c r="F64" i="1"/>
  <c r="F63" i="1"/>
  <c r="F51" i="1"/>
  <c r="F53" i="1"/>
  <c r="F46" i="1"/>
  <c r="F56" i="1"/>
  <c r="F50" i="1"/>
  <c r="F65" i="1"/>
  <c r="M48" i="6"/>
  <c r="L52" i="6"/>
  <c r="Q6" i="7" s="1"/>
  <c r="L53" i="6"/>
  <c r="Q7" i="7" s="1"/>
  <c r="F54" i="1" l="1"/>
  <c r="D49" i="1"/>
  <c r="N48" i="6"/>
  <c r="M53" i="6"/>
  <c r="R7" i="7" s="1"/>
  <c r="M52" i="6"/>
  <c r="R6" i="7" s="1"/>
  <c r="F49" i="1" l="1"/>
  <c r="D44" i="1"/>
  <c r="F44" i="1" s="1"/>
  <c r="N53" i="6"/>
  <c r="S7" i="7" s="1"/>
  <c r="N52" i="6"/>
  <c r="S6" i="7" s="1"/>
  <c r="G44" i="1" l="1"/>
  <c r="E49" i="1"/>
  <c r="E54" i="1" s="1"/>
  <c r="G54" i="1" s="1"/>
  <c r="G49" i="1" l="1"/>
</calcChain>
</file>

<file path=xl/sharedStrings.xml><?xml version="1.0" encoding="utf-8"?>
<sst xmlns="http://schemas.openxmlformats.org/spreadsheetml/2006/main" count="291" uniqueCount="242">
  <si>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</si>
  <si>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</si>
  <si>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</si>
  <si>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</si>
  <si>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</si>
  <si>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</si>
  <si>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</si>
  <si>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</si>
  <si>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</si>
  <si>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</si>
  <si>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</si>
  <si>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</si>
  <si>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</si>
  <si>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</si>
  <si>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</si>
  <si>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</si>
  <si>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</si>
  <si>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</si>
  <si>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</si>
  <si>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</si>
  <si>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</si>
  <si>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</si>
  <si>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</si>
  <si>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</si>
  <si>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</si>
  <si>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</si>
  <si>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</si>
  <si>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</si>
  <si>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</si>
  <si>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</si>
  <si>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</si>
  <si>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</si>
  <si>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</si>
  <si>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</si>
  <si>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</si>
  <si>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</si>
  <si>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</si>
  <si>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</si>
  <si>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</si>
  <si>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</si>
  <si>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</si>
  <si>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</si>
  <si>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</si>
  <si>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</si>
  <si>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</si>
  <si>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</si>
  <si>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</si>
  <si>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</si>
  <si>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</si>
  <si>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</si>
  <si>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</si>
  <si>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</si>
  <si>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</si>
  <si>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</si>
  <si>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</si>
  <si>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</si>
  <si>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</si>
  <si>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</si>
  <si>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</si>
  <si>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</si>
  <si>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</si>
  <si>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</si>
  <si>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</si>
  <si>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</si>
  <si>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</si>
  <si>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</si>
  <si>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</si>
  <si>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</si>
  <si>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</si>
  <si>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</si>
  <si>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</si>
  <si>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</si>
  <si>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</si>
  <si>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</si>
  <si>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</si>
  <si>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</si>
  <si>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</si>
  <si>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</si>
  <si>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</si>
  <si>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</si>
  <si>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</si>
  <si>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</si>
  <si>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</si>
  <si>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</si>
  <si>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</si>
  <si>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</si>
  <si>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</si>
  <si>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</si>
  <si>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</si>
  <si>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</si>
  <si>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</si>
  <si>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</si>
  <si>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</si>
  <si>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</si>
  <si>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</si>
  <si>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</si>
  <si>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</si>
  <si>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</si>
  <si>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</si>
  <si>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</si>
  <si>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</si>
  <si>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</si>
  <si>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</si>
  <si>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</si>
  <si>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</si>
  <si>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</si>
  <si>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</si>
  <si>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</si>
  <si>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</si>
  <si>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</si>
  <si>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</si>
  <si>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</si>
  <si>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</si>
  <si>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</si>
  <si>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</si>
  <si>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</si>
  <si>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</si>
  <si>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</si>
  <si>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</si>
  <si>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</si>
  <si>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</si>
  <si>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</si>
  <si>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</si>
  <si>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</si>
  <si>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</si>
  <si>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</si>
  <si>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</si>
  <si>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</si>
  <si>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</si>
  <si>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</si>
  <si>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</si>
  <si>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</si>
  <si>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</si>
  <si>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</si>
  <si>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</si>
  <si>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</si>
  <si>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</si>
  <si>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</si>
  <si>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</si>
  <si>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</si>
  <si>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</si>
  <si>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</si>
  <si>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</si>
  <si>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</si>
  <si>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</si>
  <si>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</si>
  <si>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</si>
  <si>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</si>
  <si>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</si>
  <si>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</si>
  <si>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</si>
  <si>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</si>
  <si>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</si>
  <si>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</si>
  <si>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</si>
  <si>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</si>
  <si>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</si>
  <si>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</si>
  <si>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</si>
  <si>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</si>
  <si>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</si>
  <si>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</si>
  <si>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</si>
  <si>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</si>
  <si>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</si>
  <si>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</si>
  <si>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</si>
  <si>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</si>
  <si>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</si>
  <si>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</si>
  <si>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</si>
  <si>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</si>
  <si>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</si>
  <si>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</si>
  <si>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2012</t>
  </si>
  <si>
    <t>2011</t>
  </si>
  <si>
    <t>Elvis Products International</t>
  </si>
  <si>
    <t>Income Statement</t>
  </si>
  <si>
    <t>Cost of Goods Sold</t>
  </si>
  <si>
    <t>count 20 points toward the total of 100 points for this exam. Follow the instructions</t>
  </si>
  <si>
    <r>
      <t>1.</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</si>
  <si>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An increase in Accounts Payable on the balance sheet.</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</si>
  <si>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</si>
  <si>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</si>
  <si>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</si>
  <si>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cash dividends that were paid to shareholders in the period.</t>
  </si>
  <si>
    <t xml:space="preserve">  7. A financial statement with each item expressed as a percentage of sales is called</t>
  </si>
  <si>
    <t xml:space="preserve">  8. The income statement is an accurate representation of the increase in</t>
  </si>
  <si>
    <t xml:space="preserve">  9. Depreciation for a period is represented as a use of cash (a cash outflow) on the statement of cash flows.</t>
  </si>
  <si>
    <t>Do not change anything on this page.</t>
  </si>
  <si>
    <t>Created by Del on 9/22/2011
Modified by D Hawley on 9/22/2013</t>
  </si>
  <si>
    <t>Created by Del on 9/22/2011
Modified by Del on 6/9/2012
Modified by D Hawley on 9/22/2013</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</si>
  <si>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</si>
  <si>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</si>
  <si>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</si>
  <si>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</si>
  <si>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</si>
  <si>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</si>
  <si>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</si>
  <si>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</si>
  <si>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</si>
  <si>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</si>
  <si>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</si>
  <si>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but it only works correctly if all of the numbers are positive.</t>
  </si>
  <si>
    <t>FY
2012</t>
  </si>
  <si>
    <t>Inputs for 2013</t>
  </si>
  <si>
    <r>
      <t xml:space="preserve">Note: 2013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</si>
  <si>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2012.</t>
  </si>
  <si>
    <t>2012-2013</t>
  </si>
  <si>
    <t>2013</t>
  </si>
  <si>
    <t>2012-13</t>
  </si>
  <si>
    <t>Complete the 2012 and 2013 Income Statements and Balance Sheets using</t>
  </si>
  <si>
    <t xml:space="preserve">appropriately use the 2013 inputs. All computations should reflect any changes </t>
  </si>
  <si>
    <t>Create the common size income statements and balance sheets for 2012 and 2013</t>
  </si>
  <si>
    <t>For the Year Ended Dec. 31, 2013</t>
  </si>
  <si>
    <t>FY
2013</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</si>
  <si>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</si>
  <si>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shows the firm's cash flow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</si>
  <si>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</si>
  <si>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t>e.    None of the above</t>
  </si>
  <si>
    <t>E</t>
  </si>
  <si>
    <r>
      <t>b.</t>
    </r>
    <r>
      <rPr>
        <sz val="7"/>
        <color theme="1"/>
        <rFont val="Times New Roman"/>
        <family val="1"/>
      </rPr>
      <t xml:space="preserve">      </t>
    </r>
    <r>
      <rPr>
        <sz val="11"/>
        <color theme="1"/>
        <rFont val="Calibri"/>
        <family val="2"/>
        <scheme val="minor"/>
      </rPr>
      <t>An increase in Net Fixed Assets on the balance sheet.</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</si>
  <si>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</si>
  <si>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t>A</t>
  </si>
  <si>
    <r>
      <t>b.</t>
    </r>
    <r>
      <rPr>
        <sz val="7"/>
        <color theme="1"/>
        <rFont val="Times New Roman"/>
        <family val="1"/>
      </rPr>
      <t xml:space="preserve">       </t>
    </r>
    <r>
      <rPr>
        <sz val="11"/>
        <color theme="1"/>
        <rFont val="Calibri"/>
        <family val="2"/>
        <scheme val="minor"/>
      </rPr>
      <t>Debt to equity ratio</t>
    </r>
  </si>
  <si>
    <r>
      <t>d.</t>
    </r>
    <r>
      <rPr>
        <sz val="7"/>
        <color theme="1"/>
        <rFont val="Times New Roman"/>
        <family val="1"/>
      </rPr>
      <t xml:space="preserve">      </t>
    </r>
    <r>
      <rPr>
        <sz val="11"/>
        <color theme="1"/>
        <rFont val="Calibri"/>
        <family val="2"/>
        <scheme val="minor"/>
      </rPr>
      <t>Debt to assets ratio</t>
    </r>
  </si>
  <si>
    <t>B</t>
  </si>
  <si>
    <t xml:space="preserve">          less the sum of all cash dividends paid out in the past.</t>
  </si>
  <si>
    <t>Type the work or words
that complete the statement
in the highlighted cell</t>
  </si>
  <si>
    <t>Fill in the Blank
-2 Points per incorrect answer</t>
  </si>
  <si>
    <t xml:space="preserve">  4. ________ was the first spreadsheet program ever to be marketed for personal computers.</t>
  </si>
  <si>
    <t xml:space="preserve">  5. The ______ entry on an income statement is the after-tax profit (net income) less </t>
  </si>
  <si>
    <t xml:space="preserve">  6. An Excel formula should never have a number in it unless the number is part of a cell reference </t>
  </si>
  <si>
    <t xml:space="preserve">     or is _________. </t>
  </si>
  <si>
    <t xml:space="preserve">      a common-sized income statement.</t>
  </si>
  <si>
    <t xml:space="preserve"> 10. In the Statement of Cash Flows, an increase in cash account would be shown as a source of cash.</t>
  </si>
  <si>
    <t xml:space="preserve"> 11. The values of assets as shown on the balance sheet are accurate </t>
  </si>
  <si>
    <t xml:space="preserve">  12. The “true” profit for a company in a year would be the increase in </t>
  </si>
  <si>
    <t xml:space="preserve"> 13. The retained earnings entry on the balance sheet shows the sum of all past net income</t>
  </si>
  <si>
    <t xml:space="preserve"> 14. The GEOMEAN function computes the geometric mean of a series of numbers, </t>
  </si>
  <si>
    <t>VisiCalc</t>
  </si>
  <si>
    <t>a constant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</si>
</sst>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b/>
      <sz val="16"/>
      <color theme="0" tint="-4.9989318521683403E-2"/>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6">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3" fontId="7" fillId="0" borderId="0" xfId="0" quotePrefix="1" applyNumberFormat="1" applyFont="1" applyAlignment="1">
      <alignment horizontal="center"/>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6" xfId="0" applyNumberFormat="1" applyBorder="1"/>
    <xf numFmtId="10" fontId="0" fillId="0" borderId="26" xfId="3" applyNumberFormat="1" applyFont="1" applyBorder="1"/>
    <xf numFmtId="168" fontId="0" fillId="0" borderId="23" xfId="1" applyNumberFormat="1" applyFont="1" applyBorder="1"/>
    <xf numFmtId="0" fontId="0" fillId="0" borderId="24" xfId="0" applyNumberFormat="1" applyBorder="1" applyAlignment="1">
      <alignment horizontal="center"/>
    </xf>
    <xf numFmtId="44" fontId="0" fillId="0" borderId="27" xfId="0" applyNumberFormat="1" applyBorder="1"/>
    <xf numFmtId="44" fontId="0" fillId="10" borderId="27" xfId="0" applyNumberFormat="1" applyFill="1" applyBorder="1"/>
    <xf numFmtId="44" fontId="19" fillId="11" borderId="28" xfId="0" applyNumberFormat="1" applyFont="1" applyFill="1" applyBorder="1" applyAlignment="1">
      <alignment horizontal="center" vertical="center"/>
    </xf>
    <xf numFmtId="44" fontId="19" fillId="11" borderId="29" xfId="0" applyNumberFormat="1" applyFont="1" applyFill="1" applyBorder="1" applyAlignment="1">
      <alignment horizontal="center" vertical="center" wrapText="1"/>
    </xf>
    <xf numFmtId="44" fontId="19" fillId="11" borderId="30"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0" fontId="4" fillId="0" borderId="2" xfId="0" applyFont="1" applyBorder="1" applyAlignment="1">
      <alignment horizontal="center" vertical="center" wrapText="1"/>
    </xf>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21" fillId="5" borderId="14" xfId="0" applyFont="1" applyFill="1" applyBorder="1" applyAlignment="1">
      <alignment horizontal="left"/>
    </xf>
    <xf numFmtId="0" fontId="21" fillId="5" borderId="6" xfId="0" applyFont="1" applyFill="1" applyBorder="1" applyAlignment="1">
      <alignment horizontal="left"/>
    </xf>
    <xf numFmtId="0" fontId="22" fillId="6" borderId="0" xfId="0" applyFont="1" applyFill="1" applyBorder="1" applyAlignment="1">
      <alignment horizontal="left"/>
    </xf>
    <xf numFmtId="0" fontId="23" fillId="6" borderId="15" xfId="0" applyFont="1" applyFill="1" applyBorder="1" applyAlignment="1">
      <alignment horizontal="left"/>
    </xf>
    <xf numFmtId="0" fontId="22" fillId="6" borderId="1" xfId="0" applyFont="1" applyFill="1" applyBorder="1" applyAlignment="1">
      <alignment horizontal="left"/>
    </xf>
    <xf numFmtId="166" fontId="24" fillId="8" borderId="5" xfId="0" applyNumberFormat="1" applyFont="1" applyFill="1" applyBorder="1" applyAlignment="1">
      <alignment horizontal="center" vertical="center"/>
    </xf>
    <xf numFmtId="166" fontId="24" fillId="8" borderId="6" xfId="0" applyNumberFormat="1" applyFont="1" applyFill="1" applyBorder="1" applyAlignment="1">
      <alignment horizontal="center" vertical="center"/>
    </xf>
    <xf numFmtId="166" fontId="24" fillId="8" borderId="7" xfId="0" applyNumberFormat="1" applyFont="1" applyFill="1" applyBorder="1" applyAlignment="1">
      <alignment horizontal="center" vertical="center"/>
    </xf>
    <xf numFmtId="166" fontId="24" fillId="8" borderId="8" xfId="0" applyNumberFormat="1" applyFont="1" applyFill="1" applyBorder="1" applyAlignment="1">
      <alignment horizontal="center" vertical="center"/>
    </xf>
    <xf numFmtId="166" fontId="24" fillId="8" borderId="0" xfId="0" applyNumberFormat="1" applyFont="1" applyFill="1" applyBorder="1" applyAlignment="1">
      <alignment horizontal="center" vertical="center"/>
    </xf>
    <xf numFmtId="166" fontId="24" fillId="8" borderId="9" xfId="0" applyNumberFormat="1" applyFont="1" applyFill="1" applyBorder="1" applyAlignment="1">
      <alignment horizontal="center" vertical="center"/>
    </xf>
    <xf numFmtId="166" fontId="24" fillId="8" borderId="10" xfId="0" applyNumberFormat="1" applyFont="1" applyFill="1" applyBorder="1" applyAlignment="1">
      <alignment horizontal="center" vertical="center"/>
    </xf>
    <xf numFmtId="166" fontId="24" fillId="8" borderId="1" xfId="0" applyNumberFormat="1" applyFont="1" applyFill="1" applyBorder="1" applyAlignment="1">
      <alignment horizontal="center" vertical="center"/>
    </xf>
    <xf numFmtId="166" fontId="24" fillId="8" borderId="11" xfId="0" applyNumberFormat="1" applyFont="1" applyFill="1" applyBorder="1" applyAlignment="1">
      <alignment horizontal="center" vertical="center"/>
    </xf>
    <xf numFmtId="166" fontId="20" fillId="0" borderId="0" xfId="0" applyNumberFormat="1" applyFont="1"/>
    <xf numFmtId="0" fontId="0" fillId="0" borderId="0" xfId="0" applyBorder="1"/>
    <xf numFmtId="0" fontId="3" fillId="0" borderId="0" xfId="0" applyFont="1" applyBorder="1" applyAlignment="1">
      <alignment horizontal="center" textRotation="90" wrapText="1"/>
    </xf>
    <xf numFmtId="0" fontId="4" fillId="0" borderId="0" xfId="0" applyFont="1" applyBorder="1" applyAlignment="1">
      <alignment horizontal="center" vertical="center" wrapText="1"/>
    </xf>
    <xf numFmtId="0" fontId="0" fillId="2" borderId="12" xfId="0" applyFill="1" applyBorder="1" applyAlignment="1">
      <alignment horizontal="center"/>
    </xf>
    <xf numFmtId="0" fontId="0" fillId="2" borderId="2" xfId="0" applyFill="1" applyBorder="1" applyAlignment="1">
      <alignment horizontal="center"/>
    </xf>
    <xf numFmtId="0" fontId="0" fillId="2" borderId="13" xfId="0" applyFill="1" applyBorder="1" applyAlignment="1">
      <alignment horizontal="center"/>
    </xf>
    <xf numFmtId="0" fontId="0" fillId="0" borderId="0" xfId="0" applyFill="1" applyBorder="1"/>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layout/>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-137.5</c:v>
                </c:pt>
                <c:pt idx="1">
                  <c:v>0</c:v>
                </c:pt>
                <c:pt idx="2">
                  <c:v>0</c:v>
                </c:pt>
                <c:pt idx="3">
                  <c:v>-62797.5</c:v>
                </c:pt>
                <c:pt idx="4">
                  <c:v>-54710</c:v>
                </c:pt>
                <c:pt idx="5">
                  <c:v>-54485</c:v>
                </c:pt>
                <c:pt idx="6">
                  <c:v>-54270</c:v>
                </c:pt>
                <c:pt idx="7">
                  <c:v>-52342.5</c:v>
                </c:pt>
                <c:pt idx="8">
                  <c:v>-49710</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6152.5</c:v>
                </c:pt>
                <c:pt idx="2">
                  <c:v>13377.5</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971483488"/>
        <c:axId val="1971468256"/>
      </c:barChart>
      <c:catAx>
        <c:axId val="1971483488"/>
        <c:scaling>
          <c:orientation val="minMax"/>
        </c:scaling>
        <c:delete val="0"/>
        <c:axPos val="b"/>
        <c:numFmt formatCode="General" sourceLinked="0"/>
        <c:majorTickMark val="none"/>
        <c:minorTickMark val="none"/>
        <c:tickLblPos val="nextTo"/>
        <c:txPr>
          <a:bodyPr/>
          <a:lstStyle/>
          <a:p>
            <a:pPr>
              <a:defRPr b="1"/>
            </a:pPr>
            <a:endParaRPr lang="en-US"/>
          </a:p>
        </c:txPr>
        <c:crossAx val="1971468256"/>
        <c:crosses val="autoZero"/>
        <c:auto val="1"/>
        <c:lblAlgn val="ctr"/>
        <c:lblOffset val="100"/>
        <c:noMultiLvlLbl val="0"/>
      </c:catAx>
      <c:valAx>
        <c:axId val="1971468256"/>
        <c:scaling>
          <c:orientation val="minMax"/>
          <c:max val="40000"/>
          <c:min val="-80000"/>
        </c:scaling>
        <c:delete val="0"/>
        <c:axPos val="l"/>
        <c:majorGridlines/>
        <c:numFmt formatCode="&quot;$&quot;#,##0" sourceLinked="0"/>
        <c:majorTickMark val="none"/>
        <c:minorTickMark val="none"/>
        <c:tickLblPos val="nextTo"/>
        <c:txPr>
          <a:bodyPr/>
          <a:lstStyle/>
          <a:p>
            <a:pPr>
              <a:defRPr b="1"/>
            </a:pPr>
            <a:endParaRPr lang="en-US"/>
          </a:p>
        </c:txPr>
        <c:crossAx val="1971483488"/>
        <c:crosses val="autoZero"/>
        <c:crossBetween val="between"/>
        <c:majorUnit val="100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2012)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104774</xdr:rowOff>
    </xdr:to>
    <xdr:sp macro="" textlink="">
      <xdr:nvSpPr>
        <xdr:cNvPr id="2" name="TextBox 1"/>
        <xdr:cNvSpPr txBox="1"/>
      </xdr:nvSpPr>
      <xdr:spPr>
        <a:xfrm>
          <a:off x="457200" y="203199"/>
          <a:ext cx="9953625" cy="3330575"/>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eaLnBrk="1" fontAlgn="auto" latinLnBrk="0" hangingPunct="1"/>
          <a:r>
            <a:rPr lang="en-US" sz="1200" b="1" baseline="0">
              <a:solidFill>
                <a:schemeClr val="dk1"/>
              </a:solidFill>
              <a:latin typeface="+mn-lt"/>
              <a:ea typeface="+mn-ea"/>
              <a:cs typeface="+mn-cs"/>
            </a:rPr>
            <a:t>Name the input cells for collections Collect0, Collect1, and Collect 2. Then create and save three scenarios using the Scenario Manager that show the company's monthly net cash flow for April - December while changing the collection rates. The GOOD scenario will use Collect0 = 40%, Collect1 = 15%, and Collect2 = 45%, the NORMAL scenario will use the base case collection rates given here, and the BAD scenario will use Collect0 = 20%, Collect1 = 15%, and Collect2 = 65% . Save a summary of the scenarios on a separate tabbed page.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$40,000 and the minimum to -$80,000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183875</xdr:colOff>
      <xdr:row>0</xdr:row>
      <xdr:rowOff>138733</xdr:rowOff>
    </xdr:from>
    <xdr:to>
      <xdr:col>4</xdr:col>
      <xdr:colOff>221975</xdr:colOff>
      <xdr:row>5</xdr:row>
      <xdr:rowOff>116371</xdr:rowOff>
    </xdr:to>
    <xdr:sp macro="" textlink="">
      <xdr:nvSpPr>
        <xdr:cNvPr id="2" name="Rounded Rectangle 1"/>
        <xdr:cNvSpPr/>
      </xdr:nvSpPr>
      <xdr:spPr>
        <a:xfrm>
          <a:off x="183875" y="138733"/>
          <a:ext cx="4792317"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47597</xdr:colOff>
      <xdr:row>8</xdr:row>
      <xdr:rowOff>8283</xdr:rowOff>
    </xdr:from>
    <xdr:to>
      <xdr:col>8</xdr:col>
      <xdr:colOff>149086</xdr:colOff>
      <xdr:row>13</xdr:row>
      <xdr:rowOff>208041</xdr:rowOff>
    </xdr:to>
    <xdr:sp macro="" textlink="">
      <xdr:nvSpPr>
        <xdr:cNvPr id="5" name="Right Arrow 4"/>
        <xdr:cNvSpPr/>
      </xdr:nvSpPr>
      <xdr:spPr>
        <a:xfrm flipH="1">
          <a:off x="4801814" y="1954696"/>
          <a:ext cx="2553142" cy="1732041"/>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are set to a row height of 30 with 16 pt Bold text that is centered horizontally and vertically.</a:t>
          </a:r>
          <a:endParaRPr lang="en-US" sz="1100"/>
        </a:p>
      </xdr:txBody>
    </xdr:sp>
    <xdr:clientData/>
  </xdr:twoCellAnchor>
  <xdr:twoCellAnchor>
    <xdr:from>
      <xdr:col>4</xdr:col>
      <xdr:colOff>75370</xdr:colOff>
      <xdr:row>15</xdr:row>
      <xdr:rowOff>182217</xdr:rowOff>
    </xdr:from>
    <xdr:to>
      <xdr:col>8</xdr:col>
      <xdr:colOff>165651</xdr:colOff>
      <xdr:row>23</xdr:row>
      <xdr:rowOff>78684</xdr:rowOff>
    </xdr:to>
    <xdr:sp macro="" textlink="">
      <xdr:nvSpPr>
        <xdr:cNvPr id="6" name="Right Arrow 5"/>
        <xdr:cNvSpPr/>
      </xdr:nvSpPr>
      <xdr:spPr>
        <a:xfrm flipH="1">
          <a:off x="4829587" y="4505739"/>
          <a:ext cx="2541934" cy="1495010"/>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is set</a:t>
          </a:r>
          <a:r>
            <a:rPr lang="en-US" sz="1100" baseline="0"/>
            <a:t> to a width of 35. Columns C and D are set to a width of 15.</a:t>
          </a:r>
        </a:p>
        <a:p>
          <a:pPr algn="l"/>
          <a:endParaRPr lang="en-US" sz="1100"/>
        </a:p>
      </xdr:txBody>
    </xdr:sp>
    <xdr:clientData/>
  </xdr:twoCellAnchor>
  <xdr:twoCellAnchor>
    <xdr:from>
      <xdr:col>4</xdr:col>
      <xdr:colOff>17391</xdr:colOff>
      <xdr:row>12</xdr:row>
      <xdr:rowOff>49696</xdr:rowOff>
    </xdr:from>
    <xdr:to>
      <xdr:col>8</xdr:col>
      <xdr:colOff>165651</xdr:colOff>
      <xdr:row>16</xdr:row>
      <xdr:rowOff>18514</xdr:rowOff>
    </xdr:to>
    <xdr:sp macro="" textlink="">
      <xdr:nvSpPr>
        <xdr:cNvPr id="8" name="Right Arrow 7"/>
        <xdr:cNvSpPr/>
      </xdr:nvSpPr>
      <xdr:spPr>
        <a:xfrm flipH="1">
          <a:off x="4771608" y="3147392"/>
          <a:ext cx="2599913" cy="1409992"/>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is set to a row height of 50 with 14 pt Bold text that is centered horizonally and vertically</a:t>
          </a:r>
          <a:endParaRPr lang="en-US" sz="1100"/>
        </a:p>
      </xdr:txBody>
    </xdr:sp>
    <xdr:clientData/>
  </xdr:twoCellAnchor>
  <xdr:twoCellAnchor>
    <xdr:from>
      <xdr:col>4</xdr:col>
      <xdr:colOff>55879</xdr:colOff>
      <xdr:row>22</xdr:row>
      <xdr:rowOff>0</xdr:rowOff>
    </xdr:from>
    <xdr:to>
      <xdr:col>8</xdr:col>
      <xdr:colOff>91108</xdr:colOff>
      <xdr:row>31</xdr:row>
      <xdr:rowOff>1</xdr:rowOff>
    </xdr:to>
    <xdr:sp macro="" textlink="">
      <xdr:nvSpPr>
        <xdr:cNvPr id="9" name="Right Arrow 8"/>
        <xdr:cNvSpPr/>
      </xdr:nvSpPr>
      <xdr:spPr>
        <a:xfrm flipH="1">
          <a:off x="4810096" y="5731565"/>
          <a:ext cx="2486882" cy="1838740"/>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is</a:t>
          </a:r>
          <a:r>
            <a:rPr lang="en-US" sz="1100" baseline="0"/>
            <a:t> set ot a height of 30 with 14 pt Bold text that is centered horizontally and vertically.</a:t>
          </a:r>
          <a:endParaRPr lang="en-US" sz="1100"/>
        </a:p>
      </xdr:txBody>
    </xdr:sp>
    <xdr:clientData/>
  </xdr:twoCellAnchor>
  <xdr:twoCellAnchor editAs="oneCell">
    <xdr:from>
      <xdr:col>8</xdr:col>
      <xdr:colOff>470647</xdr:colOff>
      <xdr:row>0</xdr:row>
      <xdr:rowOff>504265</xdr:rowOff>
    </xdr:from>
    <xdr:to>
      <xdr:col>20</xdr:col>
      <xdr:colOff>243533</xdr:colOff>
      <xdr:row>31</xdr:row>
      <xdr:rowOff>134471</xdr:rowOff>
    </xdr:to>
    <xdr:pic>
      <xdr:nvPicPr>
        <xdr:cNvPr id="4" name="Picture 3"/>
        <xdr:cNvPicPr>
          <a:picLocks noChangeAspect="1"/>
        </xdr:cNvPicPr>
      </xdr:nvPicPr>
      <xdr:blipFill>
        <a:blip xmlns:r="http://schemas.openxmlformats.org/officeDocument/2006/relationships" r:embed="rId1"/>
        <a:stretch>
          <a:fillRect/>
        </a:stretch>
      </xdr:blipFill>
      <xdr:spPr>
        <a:xfrm>
          <a:off x="7653618" y="504265"/>
          <a:ext cx="7034297" cy="6835588"/>
        </a:xfrm>
        <a:prstGeom prst="rect">
          <a:avLst/>
        </a:prstGeom>
        <a:ln w="34925">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9441" y="212912"/>
          <a:ext cx="7754471" cy="1792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45" zoomScaleNormal="145" workbookViewId="0"/>
  </sheetViews>
  <sheetFormatPr defaultRowHeight="15" x14ac:dyDescent="0.25"/>
  <cols>
    <col min="1" max="1" width="3.140625" customWidth="1"/>
    <col min="2" max="2" width="4.5703125" customWidth="1"/>
  </cols>
  <sheetData>
    <row r="2" spans="2:2" ht="18.600000000000001" x14ac:dyDescent="0.45">
      <c r="B2" s="53" t="s">
        <v>111</v>
      </c>
    </row>
    <row r="3" spans="2:2" ht="18.600000000000001" x14ac:dyDescent="0.45">
      <c r="B3" s="53" t="s">
        <v>112</v>
      </c>
    </row>
    <row r="4" spans="2:2" ht="18.600000000000001" x14ac:dyDescent="0.45">
      <c r="B4" s="53" t="s">
        <v>113</v>
      </c>
    </row>
    <row r="5" spans="2:2" ht="11.1" customHeight="1" x14ac:dyDescent="0.45">
      <c r="B5" s="53"/>
    </row>
    <row r="6" spans="2:2" ht="18.600000000000001" x14ac:dyDescent="0.45">
      <c r="B6" s="53" t="s">
        <v>114</v>
      </c>
    </row>
    <row r="7" spans="2:2" ht="18.600000000000001" x14ac:dyDescent="0.45">
      <c r="B7" s="53" t="s">
        <v>131</v>
      </c>
    </row>
    <row r="8" spans="2:2" ht="11.1" customHeight="1" x14ac:dyDescent="0.45">
      <c r="B8" s="53"/>
    </row>
    <row r="9" spans="2:2" s="52" customFormat="1" ht="18.600000000000001" x14ac:dyDescent="0.45">
      <c r="B9" s="53" t="s">
        <v>117</v>
      </c>
    </row>
    <row r="10" spans="2:2" s="52" customFormat="1" ht="18.600000000000001" x14ac:dyDescent="0.45">
      <c r="B10" s="53" t="s">
        <v>118</v>
      </c>
    </row>
    <row r="11" spans="2:2" s="52" customFormat="1" ht="18.600000000000001" x14ac:dyDescent="0.45">
      <c r="B11" s="53" t="s">
        <v>119</v>
      </c>
    </row>
    <row r="12" spans="2:2" ht="14.1" customHeight="1" x14ac:dyDescent="0.45">
      <c r="B12" s="53"/>
    </row>
    <row r="13" spans="2:2" ht="14.45" x14ac:dyDescent="0.35">
      <c r="B13" s="52" t="s">
        <v>132</v>
      </c>
    </row>
    <row r="14" spans="2:2" ht="8.4499999999999993" customHeight="1" x14ac:dyDescent="0.45">
      <c r="B14" s="53"/>
    </row>
    <row r="15" spans="2:2" ht="14.45" x14ac:dyDescent="0.35">
      <c r="B15" s="52" t="s">
        <v>115</v>
      </c>
    </row>
    <row r="16" spans="2:2" ht="6" customHeight="1" x14ac:dyDescent="0.25">
      <c r="B16" s="52"/>
    </row>
    <row r="17" spans="2:3" x14ac:dyDescent="0.25">
      <c r="B17" s="52" t="s">
        <v>116</v>
      </c>
    </row>
    <row r="18" spans="2:3" x14ac:dyDescent="0.25">
      <c r="B18" s="52"/>
    </row>
    <row r="19" spans="2:3" s="54" customFormat="1" x14ac:dyDescent="0.25">
      <c r="B19" s="54" t="s">
        <v>133</v>
      </c>
    </row>
    <row r="20" spans="2:3" s="54" customFormat="1" x14ac:dyDescent="0.25">
      <c r="B20" s="54" t="s">
        <v>179</v>
      </c>
    </row>
    <row r="21" spans="2:3" s="54" customFormat="1" x14ac:dyDescent="0.25">
      <c r="B21" s="54" t="s">
        <v>134</v>
      </c>
    </row>
    <row r="22" spans="2:3" s="54" customFormat="1" x14ac:dyDescent="0.25"/>
    <row r="23" spans="2:3" s="54" customFormat="1" ht="18.75" x14ac:dyDescent="0.3">
      <c r="B23" s="55" t="s">
        <v>120</v>
      </c>
    </row>
    <row r="24" spans="2:3" s="52" customFormat="1" x14ac:dyDescent="0.25"/>
    <row r="25" spans="2:3" s="52" customFormat="1" ht="6.6" customHeight="1" x14ac:dyDescent="0.25"/>
    <row r="26" spans="2:3" s="52" customFormat="1" ht="18.75" x14ac:dyDescent="0.3">
      <c r="C26" s="55" t="s">
        <v>121</v>
      </c>
    </row>
    <row r="27" spans="2:3" s="52" customFormat="1" ht="18.75" x14ac:dyDescent="0.3">
      <c r="C27" s="55" t="s">
        <v>135</v>
      </c>
    </row>
    <row r="28" spans="2:3" s="52" customFormat="1" ht="18.75" x14ac:dyDescent="0.3">
      <c r="C28" s="55" t="s">
        <v>136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topLeftCell="A74" zoomScaleNormal="100" workbookViewId="0">
      <selection activeCell="K69" sqref="K69"/>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71" t="s">
        <v>205</v>
      </c>
      <c r="C2" s="171"/>
      <c r="D2" s="171"/>
      <c r="I2" s="81"/>
      <c r="J2" s="82"/>
      <c r="K2" s="83"/>
      <c r="L2" s="84"/>
    </row>
    <row r="3" spans="2:12" s="3" customFormat="1" ht="18.75" customHeight="1" x14ac:dyDescent="0.25">
      <c r="B3" s="4" t="s">
        <v>0</v>
      </c>
      <c r="C3" s="4"/>
      <c r="D3" s="179">
        <v>0.35</v>
      </c>
      <c r="I3" s="85"/>
      <c r="J3" s="86" t="s">
        <v>65</v>
      </c>
      <c r="K3" s="87" t="s">
        <v>211</v>
      </c>
      <c r="L3" s="88"/>
    </row>
    <row r="4" spans="2:12" s="3" customFormat="1" x14ac:dyDescent="0.25">
      <c r="B4" s="4" t="s">
        <v>1</v>
      </c>
      <c r="C4" s="4"/>
      <c r="D4" s="180">
        <v>675000</v>
      </c>
      <c r="I4" s="85"/>
      <c r="J4" s="89"/>
      <c r="K4" s="87" t="s">
        <v>66</v>
      </c>
      <c r="L4" s="88"/>
    </row>
    <row r="5" spans="2:12" s="3" customFormat="1" x14ac:dyDescent="0.25">
      <c r="B5" s="4" t="s">
        <v>12</v>
      </c>
      <c r="C5" s="4"/>
      <c r="D5" s="181">
        <v>3850000</v>
      </c>
      <c r="I5" s="85"/>
      <c r="J5" s="89"/>
      <c r="K5" s="87" t="s">
        <v>212</v>
      </c>
      <c r="L5" s="88"/>
    </row>
    <row r="6" spans="2:12" s="3" customFormat="1" x14ac:dyDescent="0.25">
      <c r="B6" s="4" t="s">
        <v>2</v>
      </c>
      <c r="C6" s="4"/>
      <c r="D6" s="181">
        <v>875000</v>
      </c>
      <c r="I6" s="85"/>
      <c r="J6" s="89"/>
      <c r="K6" s="87" t="s">
        <v>68</v>
      </c>
      <c r="L6" s="88"/>
    </row>
    <row r="7" spans="2:12" s="57" customFormat="1" x14ac:dyDescent="0.25">
      <c r="B7" s="4" t="s">
        <v>4</v>
      </c>
      <c r="C7" s="4"/>
      <c r="D7" s="181">
        <v>90000</v>
      </c>
      <c r="I7" s="85"/>
      <c r="J7" s="87"/>
      <c r="K7" s="87"/>
      <c r="L7" s="88"/>
    </row>
    <row r="8" spans="2:12" s="57" customFormat="1" x14ac:dyDescent="0.25">
      <c r="B8" s="4" t="s">
        <v>5</v>
      </c>
      <c r="C8" s="4"/>
      <c r="D8" s="181">
        <v>80000</v>
      </c>
      <c r="I8" s="85"/>
      <c r="J8" s="86" t="s">
        <v>67</v>
      </c>
      <c r="K8" s="87" t="s">
        <v>213</v>
      </c>
      <c r="L8" s="88"/>
    </row>
    <row r="9" spans="2:12" s="3" customFormat="1" x14ac:dyDescent="0.25">
      <c r="B9" s="4" t="s">
        <v>3</v>
      </c>
      <c r="C9" s="4"/>
      <c r="D9" s="181">
        <v>120000</v>
      </c>
      <c r="I9" s="85"/>
      <c r="J9" s="89"/>
      <c r="K9" s="87" t="s">
        <v>69</v>
      </c>
      <c r="L9" s="88"/>
    </row>
    <row r="10" spans="2:12" s="3" customFormat="1" x14ac:dyDescent="0.25">
      <c r="B10" s="4" t="s">
        <v>7</v>
      </c>
      <c r="C10" s="4"/>
      <c r="D10" s="181">
        <v>1775000</v>
      </c>
      <c r="I10" s="85"/>
      <c r="J10" s="89"/>
      <c r="K10" s="87"/>
      <c r="L10" s="88"/>
    </row>
    <row r="11" spans="2:12" s="3" customFormat="1" x14ac:dyDescent="0.25">
      <c r="B11" s="4" t="s">
        <v>8</v>
      </c>
      <c r="C11" s="4"/>
      <c r="D11" s="181">
        <v>950000</v>
      </c>
      <c r="I11" s="85"/>
      <c r="J11" s="86" t="s">
        <v>70</v>
      </c>
      <c r="K11" s="87" t="s">
        <v>71</v>
      </c>
      <c r="L11" s="88"/>
    </row>
    <row r="12" spans="2:12" s="3" customFormat="1" x14ac:dyDescent="0.25">
      <c r="B12" s="4" t="s">
        <v>9</v>
      </c>
      <c r="C12" s="4"/>
      <c r="D12" s="181">
        <v>750000</v>
      </c>
      <c r="I12" s="85"/>
      <c r="J12" s="89"/>
      <c r="K12" s="87" t="s">
        <v>72</v>
      </c>
      <c r="L12" s="88"/>
    </row>
    <row r="13" spans="2:12" s="3" customFormat="1" ht="15.75" thickBot="1" x14ac:dyDescent="0.3">
      <c r="B13" s="4" t="s">
        <v>6</v>
      </c>
      <c r="C13" s="4"/>
      <c r="D13" s="182">
        <v>0.75</v>
      </c>
      <c r="I13" s="90"/>
      <c r="J13" s="93"/>
      <c r="K13" s="92"/>
      <c r="L13" s="91"/>
    </row>
    <row r="14" spans="2:12" s="3" customFormat="1" ht="15.75" thickBot="1" x14ac:dyDescent="0.3">
      <c r="B14" s="6" t="s">
        <v>73</v>
      </c>
      <c r="C14" s="6"/>
      <c r="D14" s="183">
        <v>50000</v>
      </c>
      <c r="I14" s="50"/>
      <c r="J14" s="51"/>
      <c r="K14" s="50"/>
      <c r="L14" s="50"/>
    </row>
    <row r="15" spans="2:12" s="3" customFormat="1" ht="17.25" x14ac:dyDescent="0.4">
      <c r="B15" s="7" t="s">
        <v>206</v>
      </c>
      <c r="C15" s="7"/>
      <c r="D15" s="5"/>
      <c r="I15" s="50"/>
      <c r="J15" s="51"/>
      <c r="K15" s="50"/>
      <c r="L15" s="50"/>
    </row>
    <row r="16" spans="2:12" ht="15.75" thickBot="1" x14ac:dyDescent="0.3">
      <c r="B16" s="8" t="s">
        <v>207</v>
      </c>
      <c r="C16" s="8"/>
      <c r="D16" s="1"/>
      <c r="I16" s="50"/>
      <c r="J16" s="51"/>
      <c r="K16" s="50"/>
      <c r="L16" s="50"/>
    </row>
    <row r="17" spans="2:12" thickBot="1" x14ac:dyDescent="0.4">
      <c r="B17" s="1"/>
      <c r="C17" s="1"/>
      <c r="D17" s="1"/>
      <c r="E17" s="1"/>
      <c r="F17" s="1"/>
      <c r="G17" s="1"/>
      <c r="I17" s="50"/>
      <c r="J17" s="51"/>
      <c r="K17" s="50"/>
      <c r="L17" s="50"/>
    </row>
    <row r="18" spans="2:12" ht="21" customHeight="1" x14ac:dyDescent="0.3">
      <c r="B18" s="172" t="s">
        <v>10</v>
      </c>
      <c r="C18" s="172"/>
      <c r="D18" s="172"/>
      <c r="E18" s="172"/>
      <c r="F18" s="172"/>
      <c r="G18" s="172"/>
      <c r="I18" s="50"/>
      <c r="J18" s="51"/>
      <c r="K18" s="50"/>
      <c r="L18" s="50"/>
    </row>
    <row r="19" spans="2:12" ht="21" customHeight="1" x14ac:dyDescent="0.3">
      <c r="B19" s="172" t="s">
        <v>208</v>
      </c>
      <c r="C19" s="172"/>
      <c r="D19" s="172"/>
      <c r="E19" s="172"/>
      <c r="F19" s="172"/>
      <c r="G19" s="172"/>
      <c r="I19" s="50"/>
      <c r="J19" s="51"/>
      <c r="K19" s="50"/>
      <c r="L19" s="50"/>
    </row>
    <row r="20" spans="2:12" ht="21" customHeight="1" thickBot="1" x14ac:dyDescent="0.35">
      <c r="B20" s="166" t="s">
        <v>11</v>
      </c>
      <c r="C20" s="166"/>
      <c r="D20" s="167"/>
      <c r="E20" s="167"/>
      <c r="F20" s="167"/>
      <c r="G20" s="167"/>
      <c r="I20" s="50"/>
      <c r="J20" s="51"/>
      <c r="K20" s="50"/>
      <c r="L20" s="50"/>
    </row>
    <row r="21" spans="2:12" ht="9" customHeight="1" x14ac:dyDescent="0.3">
      <c r="B21" s="9"/>
      <c r="C21" s="9"/>
      <c r="D21" s="9"/>
      <c r="E21" s="9"/>
      <c r="F21" s="9"/>
      <c r="G21" s="9"/>
      <c r="I21" s="50"/>
      <c r="J21" s="51"/>
      <c r="K21" s="50"/>
      <c r="L21" s="50"/>
    </row>
    <row r="22" spans="2:12" ht="17.25" x14ac:dyDescent="0.4">
      <c r="B22" s="3"/>
      <c r="C22" s="3"/>
      <c r="D22" s="165" t="s">
        <v>209</v>
      </c>
      <c r="E22" s="165" t="s">
        <v>174</v>
      </c>
      <c r="F22" s="165" t="s">
        <v>209</v>
      </c>
      <c r="G22" s="165" t="s">
        <v>174</v>
      </c>
      <c r="I22" s="50"/>
      <c r="J22" s="51"/>
      <c r="K22" s="50"/>
      <c r="L22" s="50"/>
    </row>
    <row r="23" spans="2:12" x14ac:dyDescent="0.25">
      <c r="B23" s="3" t="s">
        <v>12</v>
      </c>
      <c r="C23" s="3"/>
      <c r="D23" s="10">
        <f>D5/1000</f>
        <v>3850</v>
      </c>
      <c r="E23" s="10">
        <v>3625</v>
      </c>
      <c r="F23" s="11">
        <f>D23/D$23</f>
        <v>1</v>
      </c>
      <c r="G23" s="11">
        <f>E23/E$23</f>
        <v>1</v>
      </c>
      <c r="I23" s="50"/>
      <c r="J23" s="51"/>
      <c r="K23" s="50"/>
      <c r="L23" s="50"/>
    </row>
    <row r="24" spans="2:12" ht="17.25" x14ac:dyDescent="0.4">
      <c r="B24" s="12" t="s">
        <v>13</v>
      </c>
      <c r="C24" s="12"/>
      <c r="D24" s="12">
        <f>E24/E23*D23</f>
        <v>1911.7241379310344</v>
      </c>
      <c r="E24" s="12">
        <v>1800</v>
      </c>
      <c r="F24" s="11">
        <f t="shared" ref="F24:G33" si="0">D24/D$23</f>
        <v>0.49655172413793103</v>
      </c>
      <c r="G24" s="11">
        <f t="shared" si="0"/>
        <v>0.49655172413793103</v>
      </c>
      <c r="H24" s="13"/>
      <c r="I24" s="50"/>
      <c r="J24" s="51"/>
      <c r="K24" s="50"/>
      <c r="L24" s="50"/>
    </row>
    <row r="25" spans="2:12" x14ac:dyDescent="0.25">
      <c r="B25" s="3" t="s">
        <v>14</v>
      </c>
      <c r="C25" s="3"/>
      <c r="D25" s="10">
        <f>D23-D24</f>
        <v>1938.2758620689656</v>
      </c>
      <c r="E25" s="10">
        <f>E23-E24</f>
        <v>1825</v>
      </c>
      <c r="F25" s="11">
        <f t="shared" si="0"/>
        <v>0.50344827586206897</v>
      </c>
      <c r="G25" s="11">
        <f t="shared" si="0"/>
        <v>0.50344827586206897</v>
      </c>
    </row>
    <row r="26" spans="2:12" x14ac:dyDescent="0.25">
      <c r="B26" s="3" t="s">
        <v>2</v>
      </c>
      <c r="C26" s="3"/>
      <c r="D26" s="3">
        <f>D6/1000</f>
        <v>875</v>
      </c>
      <c r="E26" s="3">
        <v>800</v>
      </c>
      <c r="F26" s="11">
        <f t="shared" si="0"/>
        <v>0.22727272727272727</v>
      </c>
      <c r="G26" s="11">
        <f t="shared" si="0"/>
        <v>0.22068965517241379</v>
      </c>
    </row>
    <row r="27" spans="2:12" x14ac:dyDescent="0.25">
      <c r="B27" s="3" t="s">
        <v>3</v>
      </c>
      <c r="C27" s="3"/>
      <c r="D27" s="3">
        <f>D9/1000</f>
        <v>120</v>
      </c>
      <c r="E27" s="3">
        <v>120</v>
      </c>
      <c r="F27" s="11">
        <f t="shared" si="0"/>
        <v>3.1168831168831169E-2</v>
      </c>
      <c r="G27" s="11">
        <f t="shared" si="0"/>
        <v>3.310344827586207E-2</v>
      </c>
    </row>
    <row r="28" spans="2:12" ht="17.25" x14ac:dyDescent="0.4">
      <c r="B28" s="12" t="s">
        <v>4</v>
      </c>
      <c r="C28" s="12"/>
      <c r="D28" s="29">
        <f>D7/1000</f>
        <v>90</v>
      </c>
      <c r="E28" s="12">
        <v>60</v>
      </c>
      <c r="F28" s="11">
        <f t="shared" si="0"/>
        <v>2.3376623376623377E-2</v>
      </c>
      <c r="G28" s="11">
        <f t="shared" si="0"/>
        <v>1.6551724137931035E-2</v>
      </c>
    </row>
    <row r="29" spans="2:12" x14ac:dyDescent="0.25">
      <c r="B29" s="3" t="s">
        <v>15</v>
      </c>
      <c r="C29" s="3"/>
      <c r="D29" s="10">
        <f>D25-D26-D27-D28</f>
        <v>853.27586206896558</v>
      </c>
      <c r="E29" s="10">
        <f>E25-E26-E27-E28</f>
        <v>845</v>
      </c>
      <c r="F29" s="11">
        <f t="shared" si="0"/>
        <v>0.22163009404388717</v>
      </c>
      <c r="G29" s="11">
        <f t="shared" si="0"/>
        <v>0.23310344827586207</v>
      </c>
    </row>
    <row r="30" spans="2:12" ht="17.25" x14ac:dyDescent="0.4">
      <c r="B30" s="12" t="s">
        <v>5</v>
      </c>
      <c r="C30" s="12"/>
      <c r="D30" s="12">
        <f>D8/1000</f>
        <v>80</v>
      </c>
      <c r="E30" s="12">
        <v>95</v>
      </c>
      <c r="F30" s="11">
        <f t="shared" si="0"/>
        <v>2.0779220779220779E-2</v>
      </c>
      <c r="G30" s="11">
        <f t="shared" si="0"/>
        <v>2.6206896551724139E-2</v>
      </c>
    </row>
    <row r="31" spans="2:12" x14ac:dyDescent="0.25">
      <c r="B31" s="3" t="s">
        <v>16</v>
      </c>
      <c r="C31" s="3"/>
      <c r="D31" s="10">
        <f>D29-D30</f>
        <v>773.27586206896558</v>
      </c>
      <c r="E31" s="10">
        <f>E29-E30</f>
        <v>750</v>
      </c>
      <c r="F31" s="11">
        <f t="shared" si="0"/>
        <v>0.20085087326466639</v>
      </c>
      <c r="G31" s="11">
        <f t="shared" si="0"/>
        <v>0.20689655172413793</v>
      </c>
    </row>
    <row r="32" spans="2:12" ht="17.25" x14ac:dyDescent="0.4">
      <c r="B32" s="12" t="s">
        <v>17</v>
      </c>
      <c r="C32" s="12"/>
      <c r="D32" s="12">
        <f>D31*D3</f>
        <v>270.64655172413791</v>
      </c>
      <c r="E32" s="12">
        <v>262.5</v>
      </c>
      <c r="F32" s="11">
        <f t="shared" si="0"/>
        <v>7.0297805642633229E-2</v>
      </c>
      <c r="G32" s="11">
        <f t="shared" si="0"/>
        <v>7.2413793103448282E-2</v>
      </c>
    </row>
    <row r="33" spans="2:7" x14ac:dyDescent="0.25">
      <c r="B33" s="3" t="s">
        <v>18</v>
      </c>
      <c r="C33" s="3"/>
      <c r="D33" s="10">
        <f>D31-D32</f>
        <v>502.62931034482767</v>
      </c>
      <c r="E33" s="10">
        <f>E31-E32</f>
        <v>487.5</v>
      </c>
      <c r="F33" s="11">
        <f t="shared" si="0"/>
        <v>0.13055306762203317</v>
      </c>
      <c r="G33" s="11">
        <f t="shared" si="0"/>
        <v>0.13448275862068965</v>
      </c>
    </row>
    <row r="34" spans="2:7" ht="18" thickBot="1" x14ac:dyDescent="0.45">
      <c r="B34" s="29"/>
      <c r="C34" s="12"/>
      <c r="D34" s="12"/>
      <c r="E34" s="12"/>
      <c r="F34" s="11"/>
      <c r="G34" s="11"/>
    </row>
    <row r="35" spans="2:7" ht="15.75" thickBot="1" x14ac:dyDescent="0.3">
      <c r="B35" s="3" t="s">
        <v>19</v>
      </c>
      <c r="D35" s="28">
        <f>D33/D4*1000</f>
        <v>0.7446360153256707</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72" t="s">
        <v>20</v>
      </c>
      <c r="C39" s="172"/>
      <c r="D39" s="172"/>
      <c r="E39" s="172"/>
      <c r="F39" s="172"/>
      <c r="G39" s="172"/>
    </row>
    <row r="40" spans="2:7" ht="18.75" x14ac:dyDescent="0.3">
      <c r="B40" s="172" t="s">
        <v>210</v>
      </c>
      <c r="C40" s="172"/>
      <c r="D40" s="172"/>
      <c r="E40" s="172"/>
      <c r="F40" s="172"/>
      <c r="G40" s="172"/>
    </row>
    <row r="41" spans="2:7" ht="19.5" thickBot="1" x14ac:dyDescent="0.35">
      <c r="B41" s="166" t="s">
        <v>11</v>
      </c>
      <c r="C41" s="166"/>
      <c r="D41" s="167"/>
      <c r="E41" s="167"/>
      <c r="F41" s="167"/>
      <c r="G41" s="167"/>
    </row>
    <row r="42" spans="2:7" ht="18.75" x14ac:dyDescent="0.3">
      <c r="B42" s="14"/>
      <c r="C42" s="14"/>
      <c r="D42" s="9"/>
      <c r="E42" s="9"/>
      <c r="F42" s="9"/>
      <c r="G42" s="9"/>
    </row>
    <row r="43" spans="2:7" ht="17.25" x14ac:dyDescent="0.4">
      <c r="D43" s="76" t="s">
        <v>174</v>
      </c>
      <c r="E43" s="76" t="s">
        <v>175</v>
      </c>
      <c r="F43" s="76" t="s">
        <v>174</v>
      </c>
      <c r="G43" s="76" t="s">
        <v>175</v>
      </c>
    </row>
    <row r="44" spans="2:7" x14ac:dyDescent="0.25">
      <c r="B44" s="15" t="s">
        <v>21</v>
      </c>
      <c r="C44" s="3"/>
      <c r="D44" s="16">
        <f>D49-D48-D47-D46-D45</f>
        <v>2424.3793103448279</v>
      </c>
      <c r="E44" s="16">
        <v>2658</v>
      </c>
      <c r="F44" s="11">
        <f>D44/D$67</f>
        <v>0.28908533952838145</v>
      </c>
      <c r="G44" s="11">
        <f>E44/E$67</f>
        <v>0.31362831858407081</v>
      </c>
    </row>
    <row r="45" spans="2:7" x14ac:dyDescent="0.25">
      <c r="B45" s="15" t="s">
        <v>22</v>
      </c>
      <c r="C45" s="3"/>
      <c r="D45" s="65">
        <v>475</v>
      </c>
      <c r="E45" s="3">
        <v>450</v>
      </c>
      <c r="F45" s="11">
        <f t="shared" ref="F45:G67" si="1">D45/D$67</f>
        <v>5.6639460537406712E-2</v>
      </c>
      <c r="G45" s="11">
        <f t="shared" si="1"/>
        <v>5.3097345132743362E-2</v>
      </c>
    </row>
    <row r="46" spans="2:7" x14ac:dyDescent="0.25">
      <c r="B46" s="15" t="s">
        <v>23</v>
      </c>
      <c r="C46" s="3"/>
      <c r="D46" s="3">
        <f>D10/1000</f>
        <v>1775</v>
      </c>
      <c r="E46" s="3">
        <v>1640</v>
      </c>
      <c r="F46" s="11">
        <f t="shared" si="1"/>
        <v>0.21165272095557244</v>
      </c>
      <c r="G46" s="11">
        <f t="shared" si="1"/>
        <v>0.19351032448377581</v>
      </c>
    </row>
    <row r="47" spans="2:7" x14ac:dyDescent="0.25">
      <c r="B47" s="15" t="s">
        <v>8</v>
      </c>
      <c r="C47" s="3"/>
      <c r="D47" s="57">
        <f>D11/1000</f>
        <v>950</v>
      </c>
      <c r="E47" s="3">
        <v>1025</v>
      </c>
      <c r="F47" s="11">
        <f t="shared" si="1"/>
        <v>0.11327892107481342</v>
      </c>
      <c r="G47" s="11">
        <f t="shared" si="1"/>
        <v>0.12094395280235988</v>
      </c>
    </row>
    <row r="48" spans="2:7" ht="17.25" x14ac:dyDescent="0.4">
      <c r="B48" s="17" t="s">
        <v>24</v>
      </c>
      <c r="C48" s="3"/>
      <c r="D48" s="66">
        <v>52</v>
      </c>
      <c r="E48" s="12">
        <v>52</v>
      </c>
      <c r="F48" s="11">
        <f t="shared" si="1"/>
        <v>6.2005304167266299E-3</v>
      </c>
      <c r="G48" s="11">
        <f t="shared" si="1"/>
        <v>6.1356932153392328E-3</v>
      </c>
    </row>
    <row r="49" spans="2:7" x14ac:dyDescent="0.25">
      <c r="B49" s="18" t="s">
        <v>25</v>
      </c>
      <c r="C49" s="18"/>
      <c r="D49" s="19">
        <f>D54-D53-D52</f>
        <v>5676.3793103448279</v>
      </c>
      <c r="E49" s="19">
        <f>SUM(E44:E48)</f>
        <v>5825</v>
      </c>
      <c r="F49" s="11">
        <f t="shared" si="1"/>
        <v>0.67685697251290067</v>
      </c>
      <c r="G49" s="11">
        <f t="shared" si="1"/>
        <v>0.68731563421828912</v>
      </c>
    </row>
    <row r="50" spans="2:7" x14ac:dyDescent="0.25">
      <c r="B50" s="15" t="s">
        <v>26</v>
      </c>
      <c r="C50" s="3"/>
      <c r="D50" s="3">
        <f>E50+D14/1000</f>
        <v>3500</v>
      </c>
      <c r="E50" s="3">
        <v>3450</v>
      </c>
      <c r="F50" s="11">
        <f t="shared" si="1"/>
        <v>0.41734339343352317</v>
      </c>
      <c r="G50" s="11">
        <f t="shared" si="1"/>
        <v>0.40707964601769914</v>
      </c>
    </row>
    <row r="51" spans="2:7" ht="17.25" x14ac:dyDescent="0.4">
      <c r="B51" s="17" t="s">
        <v>27</v>
      </c>
      <c r="C51" s="3"/>
      <c r="D51" s="12">
        <f>E51+D28</f>
        <v>1640</v>
      </c>
      <c r="E51" s="12">
        <v>1550</v>
      </c>
      <c r="F51" s="11">
        <f t="shared" si="1"/>
        <v>0.1955551900659937</v>
      </c>
      <c r="G51" s="11">
        <f t="shared" si="1"/>
        <v>0.18289085545722714</v>
      </c>
    </row>
    <row r="52" spans="2:7" x14ac:dyDescent="0.25">
      <c r="B52" s="18" t="s">
        <v>28</v>
      </c>
      <c r="C52" s="3"/>
      <c r="D52" s="19">
        <f>D50-D51</f>
        <v>1860</v>
      </c>
      <c r="E52" s="19">
        <f>E50-E51</f>
        <v>1900</v>
      </c>
      <c r="F52" s="11">
        <f t="shared" si="1"/>
        <v>0.22178820336752944</v>
      </c>
      <c r="G52" s="11">
        <f t="shared" si="1"/>
        <v>0.22418879056047197</v>
      </c>
    </row>
    <row r="53" spans="2:7" ht="17.25" x14ac:dyDescent="0.4">
      <c r="B53" s="20" t="s">
        <v>29</v>
      </c>
      <c r="C53" s="3"/>
      <c r="D53" s="66">
        <v>850</v>
      </c>
      <c r="E53" s="12">
        <v>750</v>
      </c>
      <c r="F53" s="11">
        <f t="shared" si="1"/>
        <v>0.10135482411956991</v>
      </c>
      <c r="G53" s="11">
        <f t="shared" si="1"/>
        <v>8.8495575221238937E-2</v>
      </c>
    </row>
    <row r="54" spans="2:7" x14ac:dyDescent="0.25">
      <c r="B54" s="21" t="s">
        <v>30</v>
      </c>
      <c r="C54" s="21"/>
      <c r="D54" s="22">
        <f>D67</f>
        <v>8386.3793103448279</v>
      </c>
      <c r="E54" s="22">
        <f>E53+E52+E49</f>
        <v>8475</v>
      </c>
      <c r="F54" s="11">
        <f t="shared" si="1"/>
        <v>1</v>
      </c>
      <c r="G54" s="11">
        <f t="shared" si="1"/>
        <v>1</v>
      </c>
    </row>
    <row r="55" spans="2:7" x14ac:dyDescent="0.25">
      <c r="B55" s="3"/>
      <c r="C55" s="3"/>
      <c r="D55" s="3"/>
      <c r="E55" s="3"/>
      <c r="F55" s="11"/>
      <c r="G55" s="11"/>
    </row>
    <row r="56" spans="2:7" x14ac:dyDescent="0.25">
      <c r="B56" s="15" t="s">
        <v>31</v>
      </c>
      <c r="C56" s="3"/>
      <c r="D56" s="16">
        <f>D12/1000</f>
        <v>750</v>
      </c>
      <c r="E56" s="16">
        <v>825</v>
      </c>
      <c r="F56" s="11">
        <f t="shared" si="1"/>
        <v>8.9430727164326387E-2</v>
      </c>
      <c r="G56" s="11">
        <f t="shared" si="1"/>
        <v>9.7345132743362831E-2</v>
      </c>
    </row>
    <row r="57" spans="2:7" x14ac:dyDescent="0.25">
      <c r="B57" s="15" t="s">
        <v>32</v>
      </c>
      <c r="C57" s="3"/>
      <c r="D57" s="65">
        <v>150</v>
      </c>
      <c r="E57" s="3">
        <v>125</v>
      </c>
      <c r="F57" s="11">
        <f t="shared" si="1"/>
        <v>1.7886145432865277E-2</v>
      </c>
      <c r="G57" s="11">
        <f t="shared" si="1"/>
        <v>1.4749262536873156E-2</v>
      </c>
    </row>
    <row r="58" spans="2:7" x14ac:dyDescent="0.25">
      <c r="B58" s="15" t="s">
        <v>33</v>
      </c>
      <c r="C58" s="3"/>
      <c r="D58" s="65">
        <v>290</v>
      </c>
      <c r="E58" s="3">
        <v>260</v>
      </c>
      <c r="F58" s="11">
        <f t="shared" si="1"/>
        <v>3.4579881170206203E-2</v>
      </c>
      <c r="G58" s="11">
        <f t="shared" si="1"/>
        <v>3.0678466076696165E-2</v>
      </c>
    </row>
    <row r="59" spans="2:7" ht="17.25" x14ac:dyDescent="0.4">
      <c r="B59" s="17" t="s">
        <v>34</v>
      </c>
      <c r="C59" s="3"/>
      <c r="D59" s="66">
        <v>245</v>
      </c>
      <c r="E59" s="12">
        <v>235</v>
      </c>
      <c r="F59" s="11">
        <f t="shared" si="1"/>
        <v>2.921403754034662E-2</v>
      </c>
      <c r="G59" s="11">
        <f t="shared" si="1"/>
        <v>2.7728613569321534E-2</v>
      </c>
    </row>
    <row r="60" spans="2:7" x14ac:dyDescent="0.25">
      <c r="B60" s="18" t="s">
        <v>35</v>
      </c>
      <c r="C60" s="3"/>
      <c r="D60" s="19">
        <f>SUM(D56:D59)</f>
        <v>1435</v>
      </c>
      <c r="E60" s="19">
        <f>SUM(E56:E59)</f>
        <v>1445</v>
      </c>
      <c r="F60" s="11">
        <f t="shared" si="1"/>
        <v>0.17111079130774448</v>
      </c>
      <c r="G60" s="11">
        <f t="shared" si="1"/>
        <v>0.1705014749262537</v>
      </c>
    </row>
    <row r="61" spans="2:7" ht="17.25" x14ac:dyDescent="0.4">
      <c r="B61" s="17" t="s">
        <v>36</v>
      </c>
      <c r="C61" s="3"/>
      <c r="D61" s="66">
        <v>1500</v>
      </c>
      <c r="E61" s="12">
        <v>1675</v>
      </c>
      <c r="F61" s="11">
        <f t="shared" si="1"/>
        <v>0.17886145432865277</v>
      </c>
      <c r="G61" s="11">
        <f t="shared" si="1"/>
        <v>0.19764011799410031</v>
      </c>
    </row>
    <row r="62" spans="2:7" x14ac:dyDescent="0.25">
      <c r="B62" s="18" t="s">
        <v>37</v>
      </c>
      <c r="C62" s="3"/>
      <c r="D62" s="19">
        <f>D60+D61</f>
        <v>2935</v>
      </c>
      <c r="E62" s="19">
        <f>E60+E61</f>
        <v>3120</v>
      </c>
      <c r="F62" s="11">
        <f t="shared" si="1"/>
        <v>0.34997224563639728</v>
      </c>
      <c r="G62" s="11">
        <f t="shared" si="1"/>
        <v>0.36814159292035398</v>
      </c>
    </row>
    <row r="63" spans="2:7" x14ac:dyDescent="0.25">
      <c r="B63" s="15" t="s">
        <v>38</v>
      </c>
      <c r="C63" s="3"/>
      <c r="D63" s="65">
        <v>2000</v>
      </c>
      <c r="E63" s="3">
        <v>2000</v>
      </c>
      <c r="F63" s="11">
        <f t="shared" si="1"/>
        <v>0.23848193910487037</v>
      </c>
      <c r="G63" s="11">
        <f t="shared" si="1"/>
        <v>0.2359882005899705</v>
      </c>
    </row>
    <row r="64" spans="2:7" x14ac:dyDescent="0.25">
      <c r="B64" s="15" t="s">
        <v>39</v>
      </c>
      <c r="C64" s="3"/>
      <c r="D64" s="65">
        <v>1600</v>
      </c>
      <c r="E64" s="3">
        <v>1500</v>
      </c>
      <c r="F64" s="11">
        <f t="shared" si="1"/>
        <v>0.19078555128389629</v>
      </c>
      <c r="G64" s="11">
        <f t="shared" si="1"/>
        <v>0.17699115044247787</v>
      </c>
    </row>
    <row r="65" spans="2:7" ht="17.25" x14ac:dyDescent="0.4">
      <c r="B65" s="17" t="s">
        <v>40</v>
      </c>
      <c r="C65" s="3"/>
      <c r="D65" s="12">
        <f>D33-(D13*D4/1000)+E65</f>
        <v>1851.3793103448277</v>
      </c>
      <c r="E65" s="12">
        <v>1855</v>
      </c>
      <c r="F65" s="11">
        <f t="shared" si="1"/>
        <v>0.22076026397483606</v>
      </c>
      <c r="G65" s="11">
        <f t="shared" si="1"/>
        <v>0.21887905604719765</v>
      </c>
    </row>
    <row r="66" spans="2:7" ht="17.25" x14ac:dyDescent="0.4">
      <c r="B66" s="23" t="s">
        <v>41</v>
      </c>
      <c r="C66" s="3"/>
      <c r="D66" s="24">
        <f>D63+D64+D65</f>
        <v>5451.3793103448279</v>
      </c>
      <c r="E66" s="24">
        <f>E63+E64+E65</f>
        <v>5355</v>
      </c>
      <c r="F66" s="11">
        <f t="shared" si="1"/>
        <v>0.65002775436360272</v>
      </c>
      <c r="G66" s="11">
        <f t="shared" si="1"/>
        <v>0.63185840707964602</v>
      </c>
    </row>
    <row r="67" spans="2:7" x14ac:dyDescent="0.25">
      <c r="B67" s="21" t="s">
        <v>42</v>
      </c>
      <c r="C67" s="21"/>
      <c r="D67" s="22">
        <f>D66+D62</f>
        <v>8386.3793103448279</v>
      </c>
      <c r="E67" s="22">
        <f>E66+E62</f>
        <v>8475</v>
      </c>
      <c r="F67" s="11">
        <f t="shared" si="1"/>
        <v>1</v>
      </c>
      <c r="G67" s="11">
        <f t="shared" si="1"/>
        <v>1</v>
      </c>
    </row>
    <row r="68" spans="2:7" ht="15.75" thickBot="1" x14ac:dyDescent="0.3">
      <c r="B68" s="25"/>
      <c r="C68" s="25"/>
      <c r="D68" s="26"/>
      <c r="E68" s="26"/>
    </row>
    <row r="69" spans="2:7" ht="18.75" x14ac:dyDescent="0.3">
      <c r="B69" s="168" t="s">
        <v>43</v>
      </c>
      <c r="C69" s="168"/>
      <c r="D69" s="168"/>
      <c r="E69" s="168"/>
    </row>
    <row r="70" spans="2:7" ht="19.5" thickBot="1" x14ac:dyDescent="0.35">
      <c r="B70" s="169" t="s">
        <v>11</v>
      </c>
      <c r="C70" s="169"/>
      <c r="D70" s="169"/>
      <c r="E70" s="169"/>
    </row>
    <row r="72" spans="2:7" ht="17.25" x14ac:dyDescent="0.4">
      <c r="D72" s="170" t="s">
        <v>209</v>
      </c>
      <c r="E72" s="170"/>
    </row>
    <row r="73" spans="2:7" ht="15.75" x14ac:dyDescent="0.25">
      <c r="B73" s="27" t="s">
        <v>44</v>
      </c>
      <c r="C73" s="3"/>
      <c r="D73" s="3"/>
    </row>
    <row r="74" spans="2:7" x14ac:dyDescent="0.25">
      <c r="B74" s="15" t="s">
        <v>45</v>
      </c>
      <c r="C74" s="3"/>
      <c r="D74" s="3"/>
    </row>
    <row r="75" spans="2:7" x14ac:dyDescent="0.25">
      <c r="B75" s="15" t="s">
        <v>46</v>
      </c>
      <c r="C75" s="3"/>
      <c r="D75" s="59">
        <f>D28</f>
        <v>90</v>
      </c>
    </row>
    <row r="76" spans="2:7" x14ac:dyDescent="0.25">
      <c r="B76" s="15" t="s">
        <v>47</v>
      </c>
      <c r="C76" s="3"/>
    </row>
    <row r="77" spans="2:7" x14ac:dyDescent="0.25">
      <c r="B77" s="15" t="s">
        <v>48</v>
      </c>
      <c r="C77" s="3"/>
      <c r="D77" s="59">
        <f>E46-D46</f>
        <v>-135</v>
      </c>
    </row>
    <row r="78" spans="2:7" x14ac:dyDescent="0.25">
      <c r="B78" s="15" t="s">
        <v>49</v>
      </c>
      <c r="C78" s="3"/>
      <c r="D78" s="59">
        <f>E47-D47</f>
        <v>75</v>
      </c>
    </row>
    <row r="79" spans="2:7" x14ac:dyDescent="0.25">
      <c r="B79" s="15" t="s">
        <v>50</v>
      </c>
      <c r="C79" s="3"/>
      <c r="D79" s="58"/>
    </row>
    <row r="80" spans="2:7" x14ac:dyDescent="0.25">
      <c r="B80" s="15" t="s">
        <v>51</v>
      </c>
      <c r="C80" s="3"/>
      <c r="D80" s="59">
        <f>D56-E56</f>
        <v>-75</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58"/>
    </row>
    <row r="86" spans="2:4" ht="17.25" x14ac:dyDescent="0.4">
      <c r="B86" s="17" t="s">
        <v>56</v>
      </c>
      <c r="C86" s="3"/>
      <c r="D86" s="56"/>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c r="D90" s="64"/>
    </row>
    <row r="91" spans="2:4" x14ac:dyDescent="0.25">
      <c r="B91" s="15" t="s">
        <v>59</v>
      </c>
      <c r="C91" s="3"/>
      <c r="D91" s="59">
        <f>D61-E61</f>
        <v>-175</v>
      </c>
    </row>
    <row r="92" spans="2:4" x14ac:dyDescent="0.25">
      <c r="B92" s="15" t="s">
        <v>60</v>
      </c>
      <c r="C92" s="3"/>
    </row>
    <row r="93" spans="2:4" x14ac:dyDescent="0.25">
      <c r="B93" s="15" t="s">
        <v>61</v>
      </c>
      <c r="C93" s="3"/>
      <c r="D93" s="18"/>
    </row>
    <row r="94" spans="2:4" ht="17.25" x14ac:dyDescent="0.4">
      <c r="B94" s="17" t="s">
        <v>62</v>
      </c>
      <c r="C94" s="3"/>
      <c r="D94" s="59">
        <f>-D13*D4/1000</f>
        <v>-506.25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topLeftCell="A6" zoomScaleNormal="100" workbookViewId="0">
      <selection activeCell="P13" sqref="P13"/>
    </sheetView>
  </sheetViews>
  <sheetFormatPr defaultRowHeight="15" x14ac:dyDescent="0.25"/>
  <cols>
    <col min="2" max="2" width="33.42578125" customWidth="1"/>
    <col min="5" max="14" width="9.85546875" customWidth="1"/>
  </cols>
  <sheetData>
    <row r="19" spans="2:20" thickBot="1" x14ac:dyDescent="0.4">
      <c r="B19" s="30"/>
      <c r="C19" s="30"/>
      <c r="D19" s="30"/>
      <c r="E19" s="30"/>
      <c r="F19" s="30"/>
      <c r="G19" s="30"/>
      <c r="H19" s="30"/>
      <c r="I19" s="30"/>
      <c r="J19" s="30"/>
      <c r="K19" s="30"/>
      <c r="L19" s="30"/>
      <c r="M19" s="30"/>
      <c r="N19" s="30"/>
    </row>
    <row r="20" spans="2:20" ht="22.5" customHeight="1" thickBot="1" x14ac:dyDescent="0.4">
      <c r="B20" s="173" t="s">
        <v>93</v>
      </c>
      <c r="C20" s="174"/>
      <c r="D20" s="174"/>
      <c r="E20" s="174"/>
      <c r="F20" s="174"/>
      <c r="G20" s="174"/>
      <c r="H20" s="174"/>
      <c r="I20" s="174"/>
      <c r="J20" s="174"/>
      <c r="K20" s="174"/>
      <c r="L20" s="174"/>
      <c r="M20" s="174"/>
      <c r="N20" s="175"/>
    </row>
    <row r="21" spans="2:20" thickBot="1" x14ac:dyDescent="0.4">
      <c r="B21" s="30"/>
      <c r="C21" s="30"/>
      <c r="D21" s="30"/>
      <c r="E21" s="30"/>
      <c r="F21" s="30"/>
      <c r="G21" s="30"/>
      <c r="H21" s="30"/>
      <c r="I21" s="30"/>
      <c r="J21" s="30"/>
      <c r="K21" s="30"/>
      <c r="L21" s="30"/>
      <c r="M21" s="30"/>
      <c r="N21" s="30"/>
    </row>
    <row r="22" spans="2:20" ht="15.75" thickBot="1" x14ac:dyDescent="0.3">
      <c r="B22" s="46" t="s">
        <v>99</v>
      </c>
      <c r="C22" s="31"/>
      <c r="D22" s="30"/>
      <c r="E22" s="30"/>
      <c r="F22" s="44">
        <v>0.25</v>
      </c>
      <c r="G22" s="30"/>
      <c r="H22" s="33" t="s">
        <v>100</v>
      </c>
      <c r="I22" s="30"/>
      <c r="J22" s="30"/>
      <c r="K22" s="30"/>
      <c r="L22" s="43">
        <v>85000</v>
      </c>
      <c r="M22" s="30"/>
      <c r="N22" s="30"/>
    </row>
    <row r="23" spans="2:20" ht="15.75" thickBot="1" x14ac:dyDescent="0.3">
      <c r="B23" s="46" t="s">
        <v>101</v>
      </c>
      <c r="C23" s="31"/>
      <c r="D23" s="30"/>
      <c r="E23" s="30"/>
      <c r="F23" s="44">
        <v>0.15</v>
      </c>
      <c r="G23" s="30"/>
      <c r="H23" s="30"/>
      <c r="I23" s="30"/>
      <c r="J23" s="30"/>
      <c r="K23" s="30"/>
      <c r="L23" s="30"/>
      <c r="M23" s="30"/>
      <c r="N23" s="30"/>
      <c r="T23" t="s">
        <v>78</v>
      </c>
    </row>
    <row r="24" spans="2:20" ht="15.75" thickBot="1" x14ac:dyDescent="0.3">
      <c r="B24" s="46" t="s">
        <v>102</v>
      </c>
      <c r="C24" s="31"/>
      <c r="D24" s="30"/>
      <c r="E24" s="30"/>
      <c r="F24" s="44">
        <v>0.6</v>
      </c>
      <c r="G24" s="30"/>
      <c r="H24" s="33" t="s">
        <v>103</v>
      </c>
      <c r="I24" s="30"/>
      <c r="J24" s="30"/>
      <c r="K24" s="30"/>
      <c r="L24" s="38" t="s">
        <v>138</v>
      </c>
      <c r="M24" s="30"/>
      <c r="N24" s="30"/>
      <c r="T24" t="s">
        <v>137</v>
      </c>
    </row>
    <row r="25" spans="2:20" ht="15.75" thickBot="1" x14ac:dyDescent="0.3">
      <c r="B25" s="36"/>
      <c r="C25" s="31"/>
      <c r="D25" s="30"/>
      <c r="E25" s="30"/>
      <c r="F25" s="30"/>
      <c r="G25" s="30"/>
      <c r="H25" s="30"/>
      <c r="I25" s="30"/>
      <c r="J25" s="30"/>
      <c r="K25" s="30"/>
      <c r="L25" s="30"/>
      <c r="M25" s="30"/>
      <c r="N25" s="30"/>
      <c r="T25" t="s">
        <v>138</v>
      </c>
    </row>
    <row r="26" spans="2:20" ht="15.75" thickBot="1" x14ac:dyDescent="0.3">
      <c r="B26" s="33" t="s">
        <v>104</v>
      </c>
      <c r="C26" s="31"/>
      <c r="D26" s="30"/>
      <c r="E26" s="30"/>
      <c r="F26" s="44">
        <v>0.35</v>
      </c>
      <c r="G26" s="30"/>
      <c r="H26" s="46" t="s">
        <v>94</v>
      </c>
      <c r="I26" s="30"/>
      <c r="J26" s="30"/>
      <c r="K26" s="30"/>
      <c r="L26" s="43">
        <v>20000</v>
      </c>
      <c r="M26" s="30"/>
      <c r="N26" s="30"/>
      <c r="T26" t="s">
        <v>139</v>
      </c>
    </row>
    <row r="27" spans="2:20" x14ac:dyDescent="0.2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105</v>
      </c>
      <c r="C29" s="61">
        <v>13500</v>
      </c>
      <c r="D29" s="61">
        <v>12650</v>
      </c>
      <c r="E29" s="61">
        <v>13650</v>
      </c>
      <c r="F29" s="60">
        <v>15000</v>
      </c>
      <c r="G29" s="60">
        <v>16500</v>
      </c>
      <c r="H29" s="60">
        <v>17500</v>
      </c>
      <c r="I29" s="60">
        <v>4250</v>
      </c>
      <c r="J29" s="60">
        <v>5500</v>
      </c>
      <c r="K29" s="60">
        <v>6500</v>
      </c>
      <c r="L29" s="60">
        <v>7850</v>
      </c>
      <c r="M29" s="60">
        <v>6500</v>
      </c>
      <c r="N29" s="60">
        <v>5525</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8">
        <f t="shared" ref="F31:N31" si="0">F29*Collect0+E29*Collect1+D29*Collect2</f>
        <v>13387.5</v>
      </c>
      <c r="G31" s="48">
        <f t="shared" si="0"/>
        <v>14565</v>
      </c>
      <c r="H31" s="48">
        <f t="shared" si="0"/>
        <v>15850</v>
      </c>
      <c r="I31" s="48">
        <f t="shared" si="0"/>
        <v>13587.5</v>
      </c>
      <c r="J31" s="48">
        <f t="shared" si="0"/>
        <v>12512.5</v>
      </c>
      <c r="K31" s="48">
        <f t="shared" si="0"/>
        <v>5000</v>
      </c>
      <c r="L31" s="48">
        <f t="shared" si="0"/>
        <v>6237.5</v>
      </c>
      <c r="M31" s="48">
        <f t="shared" si="0"/>
        <v>6702.5</v>
      </c>
      <c r="N31" s="48">
        <f t="shared" si="0"/>
        <v>7066.25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8">
        <f>F29*$F$26</f>
        <v>5250</v>
      </c>
      <c r="G33" s="48">
        <f t="shared" ref="G33:N33" si="1">G29*$F$26</f>
        <v>5775</v>
      </c>
      <c r="H33" s="48">
        <f t="shared" si="1"/>
        <v>6125</v>
      </c>
      <c r="I33" s="48">
        <f t="shared" si="1"/>
        <v>1487.5</v>
      </c>
      <c r="J33" s="48">
        <f t="shared" si="1"/>
        <v>1924.9999999999998</v>
      </c>
      <c r="K33" s="48">
        <f t="shared" si="1"/>
        <v>2275</v>
      </c>
      <c r="L33" s="48">
        <f t="shared" si="1"/>
        <v>2747.5</v>
      </c>
      <c r="M33" s="48">
        <f t="shared" si="1"/>
        <v>2275</v>
      </c>
      <c r="N33" s="48">
        <f t="shared" si="1"/>
        <v>1933.7499999999998</v>
      </c>
      <c r="O33" s="30"/>
    </row>
    <row r="34" spans="2:15" x14ac:dyDescent="0.25">
      <c r="B34" s="36" t="s">
        <v>3</v>
      </c>
      <c r="C34" s="31"/>
      <c r="D34" s="31"/>
      <c r="E34" s="31"/>
      <c r="F34" s="45">
        <v>2500</v>
      </c>
      <c r="G34" s="61">
        <v>2500</v>
      </c>
      <c r="H34" s="61">
        <v>2500</v>
      </c>
      <c r="I34" s="61">
        <v>2500</v>
      </c>
      <c r="J34" s="61">
        <v>2500</v>
      </c>
      <c r="K34" s="61">
        <v>2500</v>
      </c>
      <c r="L34" s="61">
        <v>2500</v>
      </c>
      <c r="M34" s="61">
        <v>2500</v>
      </c>
      <c r="N34" s="45">
        <v>2500</v>
      </c>
      <c r="O34" s="30"/>
    </row>
    <row r="35" spans="2:15" x14ac:dyDescent="0.25">
      <c r="B35" s="36" t="s">
        <v>96</v>
      </c>
      <c r="C35" s="31"/>
      <c r="D35" s="31"/>
      <c r="E35" s="31"/>
      <c r="F35" s="45">
        <v>650</v>
      </c>
      <c r="G35" s="45">
        <v>0</v>
      </c>
      <c r="H35" s="45">
        <v>0</v>
      </c>
      <c r="I35" s="45">
        <v>650</v>
      </c>
      <c r="J35" s="45">
        <v>0</v>
      </c>
      <c r="K35" s="45">
        <v>0</v>
      </c>
      <c r="L35" s="45">
        <v>650</v>
      </c>
      <c r="M35" s="45">
        <v>0</v>
      </c>
      <c r="N35" s="45">
        <v>0</v>
      </c>
      <c r="O35" s="30"/>
    </row>
    <row r="36" spans="2:15" x14ac:dyDescent="0.25">
      <c r="B36" s="36" t="s">
        <v>108</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7.25" x14ac:dyDescent="0.4">
      <c r="B37" s="49" t="s">
        <v>97</v>
      </c>
      <c r="C37" s="31"/>
      <c r="D37" s="31"/>
      <c r="E37" s="31"/>
      <c r="F37" s="47">
        <v>125</v>
      </c>
      <c r="G37" s="47">
        <v>0</v>
      </c>
      <c r="H37" s="47">
        <v>0</v>
      </c>
      <c r="I37" s="47">
        <v>125</v>
      </c>
      <c r="J37" s="47">
        <v>0</v>
      </c>
      <c r="K37" s="47">
        <v>0</v>
      </c>
      <c r="L37" s="47">
        <v>125</v>
      </c>
      <c r="M37" s="47">
        <v>0</v>
      </c>
      <c r="N37" s="47">
        <v>0</v>
      </c>
      <c r="O37" s="30"/>
    </row>
    <row r="38" spans="2:15" x14ac:dyDescent="0.25">
      <c r="B38" s="36" t="s">
        <v>109</v>
      </c>
      <c r="C38" s="31"/>
      <c r="D38" s="31"/>
      <c r="E38" s="31"/>
      <c r="F38" s="45">
        <f>SUM(F33:F37)</f>
        <v>8525</v>
      </c>
      <c r="G38" s="61">
        <f t="shared" ref="G38:N38" si="2">SUM(G33:G37)</f>
        <v>8275</v>
      </c>
      <c r="H38" s="61">
        <f t="shared" si="2"/>
        <v>8625</v>
      </c>
      <c r="I38" s="61">
        <f t="shared" si="2"/>
        <v>89762.5</v>
      </c>
      <c r="J38" s="61">
        <f t="shared" si="2"/>
        <v>4425</v>
      </c>
      <c r="K38" s="61">
        <f t="shared" si="2"/>
        <v>4775</v>
      </c>
      <c r="L38" s="61">
        <f t="shared" si="2"/>
        <v>6022.5</v>
      </c>
      <c r="M38" s="61">
        <f t="shared" si="2"/>
        <v>4775</v>
      </c>
      <c r="N38" s="61">
        <f t="shared" si="2"/>
        <v>4433.75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76" t="s">
        <v>95</v>
      </c>
      <c r="C40" s="176"/>
      <c r="D40" s="176"/>
      <c r="E40" s="176"/>
      <c r="F40" s="176"/>
      <c r="G40" s="176"/>
      <c r="H40" s="176"/>
      <c r="I40" s="176"/>
      <c r="J40" s="176"/>
      <c r="K40" s="176"/>
      <c r="L40" s="176"/>
      <c r="M40" s="176"/>
      <c r="N40" s="176"/>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15000</v>
      </c>
      <c r="G42" s="62">
        <f t="shared" ref="G42:N42" si="3">F46</f>
        <v>20000</v>
      </c>
      <c r="H42" s="62">
        <f t="shared" si="3"/>
        <v>20000</v>
      </c>
      <c r="I42" s="62">
        <f t="shared" si="3"/>
        <v>20000</v>
      </c>
      <c r="J42" s="62">
        <f t="shared" si="3"/>
        <v>20000</v>
      </c>
      <c r="K42" s="62">
        <f t="shared" si="3"/>
        <v>20000</v>
      </c>
      <c r="L42" s="62">
        <f t="shared" si="3"/>
        <v>20000</v>
      </c>
      <c r="M42" s="62">
        <f t="shared" si="3"/>
        <v>20000</v>
      </c>
      <c r="N42" s="62">
        <f t="shared" si="3"/>
        <v>20000</v>
      </c>
      <c r="O42" s="30"/>
    </row>
    <row r="43" spans="2:15" ht="17.25" x14ac:dyDescent="0.4">
      <c r="B43" s="34" t="s">
        <v>87</v>
      </c>
      <c r="C43" s="35"/>
      <c r="D43" s="35"/>
      <c r="E43" s="35"/>
      <c r="F43" s="35">
        <f>F31-F38</f>
        <v>4862.5</v>
      </c>
      <c r="G43" s="35">
        <f t="shared" ref="G43:N43" si="4">G31-G38</f>
        <v>6290</v>
      </c>
      <c r="H43" s="35">
        <f t="shared" si="4"/>
        <v>7225</v>
      </c>
      <c r="I43" s="35">
        <f t="shared" si="4"/>
        <v>-76175</v>
      </c>
      <c r="J43" s="35">
        <f t="shared" si="4"/>
        <v>8087.5</v>
      </c>
      <c r="K43" s="35">
        <f t="shared" si="4"/>
        <v>225</v>
      </c>
      <c r="L43" s="35">
        <f t="shared" si="4"/>
        <v>215</v>
      </c>
      <c r="M43" s="35">
        <f t="shared" si="4"/>
        <v>1927.5</v>
      </c>
      <c r="N43" s="35">
        <f t="shared" si="4"/>
        <v>2632.5</v>
      </c>
      <c r="O43" s="30"/>
    </row>
    <row r="44" spans="2:15" x14ac:dyDescent="0.25">
      <c r="B44" s="36" t="s">
        <v>88</v>
      </c>
      <c r="C44" s="36"/>
      <c r="D44" s="36"/>
      <c r="E44" s="36"/>
      <c r="F44" s="36">
        <f>F42+F43</f>
        <v>19862.5</v>
      </c>
      <c r="G44" s="63">
        <f t="shared" ref="G44:N44" si="5">G42+G43</f>
        <v>26290</v>
      </c>
      <c r="H44" s="63">
        <f t="shared" si="5"/>
        <v>27225</v>
      </c>
      <c r="I44" s="63">
        <f t="shared" si="5"/>
        <v>-56175</v>
      </c>
      <c r="J44" s="63">
        <f t="shared" si="5"/>
        <v>28087.5</v>
      </c>
      <c r="K44" s="63">
        <f t="shared" si="5"/>
        <v>20225</v>
      </c>
      <c r="L44" s="63">
        <f t="shared" si="5"/>
        <v>20215</v>
      </c>
      <c r="M44" s="63">
        <f t="shared" si="5"/>
        <v>21927.5</v>
      </c>
      <c r="N44" s="63">
        <f t="shared" si="5"/>
        <v>22632.5</v>
      </c>
      <c r="O44" s="36"/>
    </row>
    <row r="45" spans="2:15" ht="17.25" x14ac:dyDescent="0.4">
      <c r="B45" s="34" t="s">
        <v>89</v>
      </c>
      <c r="C45" s="35"/>
      <c r="D45" s="35"/>
      <c r="E45" s="35"/>
      <c r="F45" s="35">
        <f>F46-F44</f>
        <v>137.5</v>
      </c>
      <c r="G45" s="35">
        <f t="shared" ref="G45:N45" si="6">G46-G44</f>
        <v>-6290</v>
      </c>
      <c r="H45" s="35">
        <f t="shared" si="6"/>
        <v>-7225</v>
      </c>
      <c r="I45" s="35">
        <f t="shared" si="6"/>
        <v>76175</v>
      </c>
      <c r="J45" s="35">
        <f t="shared" si="6"/>
        <v>-8087.5</v>
      </c>
      <c r="K45" s="35">
        <f t="shared" si="6"/>
        <v>-225</v>
      </c>
      <c r="L45" s="35">
        <f t="shared" si="6"/>
        <v>-215</v>
      </c>
      <c r="M45" s="35">
        <f t="shared" si="6"/>
        <v>-1927.5</v>
      </c>
      <c r="N45" s="35">
        <f t="shared" si="6"/>
        <v>-2632.5</v>
      </c>
      <c r="O45" s="30"/>
    </row>
    <row r="46" spans="2:15" x14ac:dyDescent="0.25">
      <c r="B46" s="36" t="s">
        <v>90</v>
      </c>
      <c r="C46" s="36"/>
      <c r="D46" s="36"/>
      <c r="E46" s="36">
        <v>15000</v>
      </c>
      <c r="F46" s="36">
        <f>L26</f>
        <v>20000</v>
      </c>
      <c r="G46" s="36">
        <f>F46</f>
        <v>20000</v>
      </c>
      <c r="H46" s="63">
        <f t="shared" ref="H46:N46" si="7">G46</f>
        <v>20000</v>
      </c>
      <c r="I46" s="63">
        <f t="shared" si="7"/>
        <v>20000</v>
      </c>
      <c r="J46" s="63">
        <f t="shared" si="7"/>
        <v>20000</v>
      </c>
      <c r="K46" s="63">
        <f t="shared" si="7"/>
        <v>20000</v>
      </c>
      <c r="L46" s="63">
        <f t="shared" si="7"/>
        <v>20000</v>
      </c>
      <c r="M46" s="63">
        <f t="shared" si="7"/>
        <v>20000</v>
      </c>
      <c r="N46" s="63">
        <f t="shared" si="7"/>
        <v>20000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140</v>
      </c>
      <c r="C48" s="36"/>
      <c r="D48" s="36"/>
      <c r="E48" s="33"/>
      <c r="F48" s="33">
        <f>F45</f>
        <v>137.5</v>
      </c>
      <c r="G48" s="33">
        <f>F48+G45</f>
        <v>-6152.5</v>
      </c>
      <c r="H48" s="62">
        <f t="shared" ref="H48:N48" si="8">G48+H45</f>
        <v>-13377.5</v>
      </c>
      <c r="I48" s="62">
        <f t="shared" si="8"/>
        <v>62797.5</v>
      </c>
      <c r="J48" s="62">
        <f t="shared" si="8"/>
        <v>54710</v>
      </c>
      <c r="K48" s="62">
        <f t="shared" si="8"/>
        <v>54485</v>
      </c>
      <c r="L48" s="62">
        <f t="shared" si="8"/>
        <v>54270</v>
      </c>
      <c r="M48" s="62">
        <f t="shared" si="8"/>
        <v>52342.5</v>
      </c>
      <c r="N48" s="62">
        <f t="shared" si="8"/>
        <v>49710</v>
      </c>
      <c r="O48" s="35"/>
    </row>
    <row r="49" spans="2:14" ht="15.75" thickBot="1" x14ac:dyDescent="0.3">
      <c r="B49" s="32"/>
      <c r="C49" s="32"/>
      <c r="D49" s="32"/>
      <c r="E49" s="33"/>
      <c r="F49" s="33"/>
      <c r="G49" s="33"/>
      <c r="H49" s="33"/>
      <c r="I49" s="33"/>
      <c r="J49" s="33"/>
      <c r="K49" s="33"/>
      <c r="L49" s="33"/>
      <c r="M49" s="33"/>
      <c r="N49" s="33"/>
    </row>
    <row r="50" spans="2:14" ht="19.5" thickBot="1" x14ac:dyDescent="0.3">
      <c r="B50" s="176" t="s">
        <v>110</v>
      </c>
      <c r="C50" s="176"/>
      <c r="D50" s="176"/>
      <c r="E50" s="176"/>
      <c r="F50" s="176"/>
      <c r="G50" s="176"/>
      <c r="H50" s="176"/>
      <c r="I50" s="176"/>
      <c r="J50" s="176"/>
      <c r="K50" s="176"/>
      <c r="L50" s="176"/>
      <c r="M50" s="176"/>
      <c r="N50" s="176"/>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137.5</v>
      </c>
      <c r="G52" s="62">
        <f t="shared" si="9"/>
        <v>0</v>
      </c>
      <c r="H52" s="62">
        <f t="shared" si="9"/>
        <v>0</v>
      </c>
      <c r="I52" s="62">
        <f t="shared" si="9"/>
        <v>62797.5</v>
      </c>
      <c r="J52" s="62">
        <f t="shared" si="9"/>
        <v>54710</v>
      </c>
      <c r="K52" s="62">
        <f t="shared" si="9"/>
        <v>54485</v>
      </c>
      <c r="L52" s="62">
        <f t="shared" si="9"/>
        <v>54270</v>
      </c>
      <c r="M52" s="62">
        <f t="shared" si="9"/>
        <v>52342.5</v>
      </c>
      <c r="N52" s="62">
        <f t="shared" si="9"/>
        <v>49710</v>
      </c>
    </row>
    <row r="53" spans="2:14" x14ac:dyDescent="0.25">
      <c r="B53" s="33" t="s">
        <v>92</v>
      </c>
      <c r="C53" s="33"/>
      <c r="D53" s="33"/>
      <c r="E53" s="33">
        <v>0</v>
      </c>
      <c r="F53" s="33">
        <f t="shared" ref="F53:N53" si="10">IF(F48&lt;0,-F48,0)</f>
        <v>0</v>
      </c>
      <c r="G53" s="62">
        <f t="shared" si="10"/>
        <v>6152.5</v>
      </c>
      <c r="H53" s="62">
        <f t="shared" si="10"/>
        <v>13377.5</v>
      </c>
      <c r="I53" s="62">
        <f t="shared" si="10"/>
        <v>0</v>
      </c>
      <c r="J53" s="62">
        <f t="shared" si="10"/>
        <v>0</v>
      </c>
      <c r="K53" s="62">
        <f t="shared" si="10"/>
        <v>0</v>
      </c>
      <c r="L53" s="62">
        <f t="shared" si="10"/>
        <v>0</v>
      </c>
      <c r="M53" s="62">
        <f t="shared" si="10"/>
        <v>0</v>
      </c>
      <c r="N53" s="62">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 Hawley" comment="Created by Del on 9/22/2011_x000a_Modified by D Hawley on 9/22/2013">
      <inputCells r="F22" val="0.22" numFmtId="9"/>
      <inputCells r="F23" val="0.58" numFmtId="9"/>
      <inputCells r="F24" val="0.1" numFmtId="9"/>
    </scenario>
    <scenario name="Normal" locked="1" count="3" user="D Hawley" comment="Created by Del on 9/22/2011_x000a_Modified by Del on 6/9/2012_x000a_Modified by D Hawley on 9/22/2013">
      <inputCells r="F22" val="0.18" numFmtId="9"/>
      <inputCells r="F23" val="0.52" numFmtId="9"/>
      <inputCells r="F24" val="0.3" numFmtId="9"/>
    </scenario>
    <scenario name="Bad" locked="1" count="3" user="D Hawley" comment="Created by Del on 9/22/2011_x000a_Modified by D Hawley on 9/22/2013">
      <inputCells r="F22" val="0.1" numFmtId="9"/>
      <inputCells r="F23" val="0.45" numFmtId="9"/>
      <inputCells r="F24" val="0.4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H28" sqref="H28"/>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185" t="s">
        <v>156</v>
      </c>
      <c r="C2" s="185"/>
      <c r="D2" s="72"/>
      <c r="E2" s="72"/>
      <c r="F2" s="72"/>
      <c r="G2" s="72"/>
    </row>
    <row r="3" spans="2:7" ht="15.75" collapsed="1" x14ac:dyDescent="0.25">
      <c r="B3" s="184"/>
      <c r="C3" s="184"/>
      <c r="D3" s="73" t="s">
        <v>158</v>
      </c>
      <c r="E3" s="73" t="s">
        <v>153</v>
      </c>
      <c r="F3" s="73" t="s">
        <v>154</v>
      </c>
      <c r="G3" s="73" t="s">
        <v>155</v>
      </c>
    </row>
    <row r="4" spans="2:7" ht="78.75" hidden="1" outlineLevel="1" x14ac:dyDescent="0.25">
      <c r="B4" s="186"/>
      <c r="C4" s="186"/>
      <c r="D4" s="67"/>
      <c r="E4" s="75" t="s">
        <v>190</v>
      </c>
      <c r="F4" s="75" t="s">
        <v>191</v>
      </c>
      <c r="G4" s="75" t="s">
        <v>190</v>
      </c>
    </row>
    <row r="5" spans="2:7" x14ac:dyDescent="0.25">
      <c r="B5" s="187" t="s">
        <v>157</v>
      </c>
      <c r="C5" s="187"/>
      <c r="D5" s="71"/>
      <c r="E5" s="71"/>
      <c r="F5" s="71"/>
      <c r="G5" s="71"/>
    </row>
    <row r="6" spans="2:7" outlineLevel="1" x14ac:dyDescent="0.25">
      <c r="B6" s="186"/>
      <c r="C6" s="186" t="s">
        <v>141</v>
      </c>
      <c r="D6" s="68">
        <v>0.25</v>
      </c>
      <c r="E6" s="74">
        <v>0.22</v>
      </c>
      <c r="F6" s="74">
        <v>0.18</v>
      </c>
      <c r="G6" s="74">
        <v>0.1</v>
      </c>
    </row>
    <row r="7" spans="2:7" outlineLevel="1" x14ac:dyDescent="0.25">
      <c r="B7" s="186"/>
      <c r="C7" s="186" t="s">
        <v>142</v>
      </c>
      <c r="D7" s="68">
        <v>0.15</v>
      </c>
      <c r="E7" s="74">
        <v>0.57999999999999996</v>
      </c>
      <c r="F7" s="74">
        <v>0.52</v>
      </c>
      <c r="G7" s="74">
        <v>0.45</v>
      </c>
    </row>
    <row r="8" spans="2:7" outlineLevel="1" x14ac:dyDescent="0.25">
      <c r="B8" s="186"/>
      <c r="C8" s="186" t="s">
        <v>143</v>
      </c>
      <c r="D8" s="68">
        <v>0.6</v>
      </c>
      <c r="E8" s="74">
        <v>0.1</v>
      </c>
      <c r="F8" s="74">
        <v>0.3</v>
      </c>
      <c r="G8" s="74">
        <v>0.45</v>
      </c>
    </row>
    <row r="9" spans="2:7" x14ac:dyDescent="0.25">
      <c r="B9" s="187" t="s">
        <v>159</v>
      </c>
      <c r="C9" s="187"/>
      <c r="D9" s="71"/>
      <c r="E9" s="71"/>
      <c r="F9" s="71"/>
      <c r="G9" s="71"/>
    </row>
    <row r="10" spans="2:7" outlineLevel="1" x14ac:dyDescent="0.25">
      <c r="B10" s="186"/>
      <c r="C10" s="186" t="s">
        <v>144</v>
      </c>
      <c r="D10" s="69">
        <v>4862.5</v>
      </c>
      <c r="E10" s="69">
        <v>3957</v>
      </c>
      <c r="F10" s="69">
        <v>5068</v>
      </c>
      <c r="G10" s="69">
        <v>4810</v>
      </c>
    </row>
    <row r="11" spans="2:7" outlineLevel="1" x14ac:dyDescent="0.25">
      <c r="B11" s="186"/>
      <c r="C11" s="186" t="s">
        <v>145</v>
      </c>
      <c r="D11" s="69">
        <v>6290</v>
      </c>
      <c r="E11" s="69">
        <v>5420</v>
      </c>
      <c r="F11" s="69">
        <v>6590</v>
      </c>
      <c r="G11" s="69">
        <v>6267.5</v>
      </c>
    </row>
    <row r="12" spans="2:7" outlineLevel="1" x14ac:dyDescent="0.25">
      <c r="B12" s="186"/>
      <c r="C12" s="186" t="s">
        <v>146</v>
      </c>
      <c r="D12" s="69">
        <v>7225</v>
      </c>
      <c r="E12" s="69">
        <v>6295</v>
      </c>
      <c r="F12" s="69">
        <v>7605</v>
      </c>
      <c r="G12" s="69">
        <v>7300</v>
      </c>
    </row>
    <row r="13" spans="2:7" outlineLevel="1" x14ac:dyDescent="0.25">
      <c r="B13" s="186"/>
      <c r="C13" s="186" t="s">
        <v>147</v>
      </c>
      <c r="D13" s="69">
        <v>-76175</v>
      </c>
      <c r="E13" s="69">
        <v>-77027.5</v>
      </c>
      <c r="F13" s="69">
        <v>-74947.5</v>
      </c>
      <c r="G13" s="69">
        <v>-74037.5</v>
      </c>
    </row>
    <row r="14" spans="2:7" outlineLevel="1" x14ac:dyDescent="0.25">
      <c r="B14" s="186"/>
      <c r="C14" s="186" t="s">
        <v>148</v>
      </c>
      <c r="D14" s="69">
        <v>8087.5</v>
      </c>
      <c r="E14" s="69">
        <v>1000</v>
      </c>
      <c r="F14" s="69">
        <v>4025</v>
      </c>
      <c r="G14" s="69">
        <v>5912.5</v>
      </c>
    </row>
    <row r="15" spans="2:7" outlineLevel="1" x14ac:dyDescent="0.25">
      <c r="B15" s="186"/>
      <c r="C15" s="186" t="s">
        <v>149</v>
      </c>
      <c r="D15" s="69">
        <v>225</v>
      </c>
      <c r="E15" s="69">
        <v>270</v>
      </c>
      <c r="F15" s="69">
        <v>530</v>
      </c>
      <c r="G15" s="69">
        <v>262.5</v>
      </c>
    </row>
    <row r="16" spans="2:7" outlineLevel="1" x14ac:dyDescent="0.25">
      <c r="B16" s="186"/>
      <c r="C16" s="186" t="s">
        <v>150</v>
      </c>
      <c r="D16" s="69">
        <v>215</v>
      </c>
      <c r="E16" s="69">
        <v>24.5</v>
      </c>
      <c r="F16" s="69">
        <v>420.5</v>
      </c>
      <c r="G16" s="69">
        <v>162.5</v>
      </c>
    </row>
    <row r="17" spans="2:7" outlineLevel="1" x14ac:dyDescent="0.25">
      <c r="B17" s="186"/>
      <c r="C17" s="186" t="s">
        <v>151</v>
      </c>
      <c r="D17" s="69">
        <v>1927.5</v>
      </c>
      <c r="E17" s="69">
        <v>1858</v>
      </c>
      <c r="F17" s="69">
        <v>2427</v>
      </c>
      <c r="G17" s="69">
        <v>2332.5</v>
      </c>
    </row>
    <row r="18" spans="2:7" ht="15.75" outlineLevel="1" thickBot="1" x14ac:dyDescent="0.3">
      <c r="B18" s="188"/>
      <c r="C18" s="188" t="s">
        <v>152</v>
      </c>
      <c r="D18" s="70">
        <v>2632.5</v>
      </c>
      <c r="E18" s="70">
        <v>1336.75</v>
      </c>
      <c r="F18" s="70">
        <v>2295.75</v>
      </c>
      <c r="G18" s="70">
        <v>2576.25</v>
      </c>
    </row>
    <row r="19" spans="2:7" x14ac:dyDescent="0.25">
      <c r="B19" t="s">
        <v>160</v>
      </c>
    </row>
    <row r="20" spans="2:7" x14ac:dyDescent="0.25">
      <c r="B20" t="s">
        <v>161</v>
      </c>
    </row>
    <row r="21" spans="2:7" x14ac:dyDescent="0.25">
      <c r="B21" t="s">
        <v>162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topLeftCell="A7" workbookViewId="0">
      <selection activeCell="L14" sqref="L14"/>
    </sheetView>
  </sheetViews>
  <sheetFormatPr defaultRowHeight="15" x14ac:dyDescent="0.25"/>
  <cols>
    <col min="10" max="10" width="17.28515625" customWidth="1"/>
  </cols>
  <sheetData>
    <row r="5" spans="10:19" x14ac:dyDescent="0.35">
      <c r="K5" t="s">
        <v>163</v>
      </c>
      <c r="L5" t="s">
        <v>164</v>
      </c>
      <c r="M5" s="64" t="s">
        <v>165</v>
      </c>
      <c r="N5" s="64" t="s">
        <v>166</v>
      </c>
      <c r="O5" s="64" t="s">
        <v>167</v>
      </c>
      <c r="P5" s="64" t="s">
        <v>168</v>
      </c>
      <c r="Q5" s="64" t="s">
        <v>169</v>
      </c>
      <c r="R5" s="64" t="s">
        <v>170</v>
      </c>
      <c r="S5" s="64" t="s">
        <v>171</v>
      </c>
    </row>
    <row r="6" spans="10:19" x14ac:dyDescent="0.35">
      <c r="J6" t="s">
        <v>173</v>
      </c>
      <c r="K6" s="62">
        <f>-'Prob 2 - 25 Pts '!F52</f>
        <v>-137.5</v>
      </c>
      <c r="L6" s="62">
        <f>-'Prob 2 - 25 Pts '!G52</f>
        <v>0</v>
      </c>
      <c r="M6" s="62">
        <f>-'Prob 2 - 25 Pts '!H52</f>
        <v>0</v>
      </c>
      <c r="N6" s="62">
        <f>-'Prob 2 - 25 Pts '!I52</f>
        <v>-62797.5</v>
      </c>
      <c r="O6" s="62">
        <f>-'Prob 2 - 25 Pts '!J52</f>
        <v>-54710</v>
      </c>
      <c r="P6" s="62">
        <f>-'Prob 2 - 25 Pts '!K52</f>
        <v>-54485</v>
      </c>
      <c r="Q6" s="62">
        <f>-'Prob 2 - 25 Pts '!L52</f>
        <v>-54270</v>
      </c>
      <c r="R6" s="62">
        <f>-'Prob 2 - 25 Pts '!M52</f>
        <v>-52342.5</v>
      </c>
      <c r="S6" s="62">
        <f>-'Prob 2 - 25 Pts '!N52</f>
        <v>-49710</v>
      </c>
    </row>
    <row r="7" spans="10:19" x14ac:dyDescent="0.35">
      <c r="J7" t="s">
        <v>172</v>
      </c>
      <c r="K7" s="62">
        <f>'Prob 2 - 25 Pts '!F53</f>
        <v>0</v>
      </c>
      <c r="L7" s="62">
        <f>'Prob 2 - 25 Pts '!G53</f>
        <v>6152.5</v>
      </c>
      <c r="M7" s="62">
        <f>'Prob 2 - 25 Pts '!H53</f>
        <v>13377.5</v>
      </c>
      <c r="N7" s="62">
        <f>'Prob 2 - 25 Pts '!I53</f>
        <v>0</v>
      </c>
      <c r="O7" s="62">
        <f>'Prob 2 - 25 Pts '!J53</f>
        <v>0</v>
      </c>
      <c r="P7" s="62">
        <f>'Prob 2 - 25 Pts '!K53</f>
        <v>0</v>
      </c>
      <c r="Q7" s="62">
        <f>'Prob 2 - 25 Pts '!L53</f>
        <v>0</v>
      </c>
      <c r="R7" s="62">
        <f>'Prob 2 - 25 Pts '!M53</f>
        <v>0</v>
      </c>
      <c r="S7" s="62">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7"/>
  <sheetViews>
    <sheetView zoomScale="130" zoomScaleNormal="130" workbookViewId="0">
      <selection activeCell="G6" sqref="G6"/>
    </sheetView>
  </sheetViews>
  <sheetFormatPr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22" t="s">
        <v>192</v>
      </c>
      <c r="C6" s="123" t="s">
        <v>198</v>
      </c>
      <c r="D6" s="123" t="s">
        <v>193</v>
      </c>
      <c r="E6" s="124" t="s">
        <v>194</v>
      </c>
    </row>
    <row r="7" spans="2:5" x14ac:dyDescent="0.25">
      <c r="B7" s="119">
        <v>2000</v>
      </c>
      <c r="C7" s="120">
        <v>3.25</v>
      </c>
      <c r="D7" s="121"/>
      <c r="E7" s="121"/>
    </row>
    <row r="8" spans="2:5" x14ac:dyDescent="0.25">
      <c r="B8" s="113">
        <v>2001</v>
      </c>
      <c r="C8" s="111">
        <v>4.2</v>
      </c>
      <c r="D8" s="112">
        <f>C8/C7-1</f>
        <v>0.29230769230769238</v>
      </c>
      <c r="E8" s="114">
        <f>1+D8</f>
        <v>1.2923076923076924</v>
      </c>
    </row>
    <row r="9" spans="2:5" x14ac:dyDescent="0.25">
      <c r="B9" s="113">
        <v>2002</v>
      </c>
      <c r="C9" s="111">
        <v>4.5</v>
      </c>
      <c r="D9" s="112">
        <f t="shared" ref="D9:D20" si="0">C9/C8-1</f>
        <v>7.1428571428571397E-2</v>
      </c>
      <c r="E9" s="114">
        <f t="shared" ref="E9:E20" si="1">1+D9</f>
        <v>1.0714285714285714</v>
      </c>
    </row>
    <row r="10" spans="2:5" x14ac:dyDescent="0.25">
      <c r="B10" s="113">
        <v>2003</v>
      </c>
      <c r="C10" s="111">
        <v>5.15</v>
      </c>
      <c r="D10" s="112">
        <f t="shared" si="0"/>
        <v>0.1444444444444446</v>
      </c>
      <c r="E10" s="114">
        <f t="shared" si="1"/>
        <v>1.1444444444444446</v>
      </c>
    </row>
    <row r="11" spans="2:5" x14ac:dyDescent="0.25">
      <c r="B11" s="113">
        <v>2004</v>
      </c>
      <c r="C11" s="111">
        <v>5.8</v>
      </c>
      <c r="D11" s="112">
        <f t="shared" si="0"/>
        <v>0.12621359223300965</v>
      </c>
      <c r="E11" s="114">
        <f t="shared" si="1"/>
        <v>1.1262135922330097</v>
      </c>
    </row>
    <row r="12" spans="2:5" x14ac:dyDescent="0.25">
      <c r="B12" s="113">
        <v>2005</v>
      </c>
      <c r="C12" s="111">
        <v>4.5</v>
      </c>
      <c r="D12" s="112">
        <f t="shared" si="0"/>
        <v>-0.22413793103448276</v>
      </c>
      <c r="E12" s="114">
        <f t="shared" si="1"/>
        <v>0.77586206896551724</v>
      </c>
    </row>
    <row r="13" spans="2:5" x14ac:dyDescent="0.25">
      <c r="B13" s="113">
        <v>2006</v>
      </c>
      <c r="C13" s="111">
        <v>5.25</v>
      </c>
      <c r="D13" s="112">
        <f t="shared" si="0"/>
        <v>0.16666666666666674</v>
      </c>
      <c r="E13" s="114">
        <f t="shared" si="1"/>
        <v>1.1666666666666667</v>
      </c>
    </row>
    <row r="14" spans="2:5" x14ac:dyDescent="0.25">
      <c r="B14" s="113">
        <v>2007</v>
      </c>
      <c r="C14" s="111">
        <v>6.5</v>
      </c>
      <c r="D14" s="112">
        <f t="shared" si="0"/>
        <v>0.23809523809523814</v>
      </c>
      <c r="E14" s="114">
        <f t="shared" si="1"/>
        <v>1.2380952380952381</v>
      </c>
    </row>
    <row r="15" spans="2:5" x14ac:dyDescent="0.25">
      <c r="B15" s="113">
        <v>2008</v>
      </c>
      <c r="C15" s="111">
        <v>8.25</v>
      </c>
      <c r="D15" s="112">
        <f t="shared" si="0"/>
        <v>0.26923076923076916</v>
      </c>
      <c r="E15" s="114">
        <f t="shared" si="1"/>
        <v>1.2692307692307692</v>
      </c>
    </row>
    <row r="16" spans="2:5" x14ac:dyDescent="0.25">
      <c r="B16" s="113">
        <v>2009</v>
      </c>
      <c r="C16" s="111">
        <v>4.5</v>
      </c>
      <c r="D16" s="112">
        <f t="shared" si="0"/>
        <v>-0.45454545454545459</v>
      </c>
      <c r="E16" s="114">
        <f t="shared" si="1"/>
        <v>0.54545454545454541</v>
      </c>
    </row>
    <row r="17" spans="2:5" x14ac:dyDescent="0.25">
      <c r="B17" s="113">
        <v>2010</v>
      </c>
      <c r="C17" s="111">
        <v>6.25</v>
      </c>
      <c r="D17" s="112">
        <f t="shared" si="0"/>
        <v>0.38888888888888884</v>
      </c>
      <c r="E17" s="114">
        <f t="shared" si="1"/>
        <v>1.3888888888888888</v>
      </c>
    </row>
    <row r="18" spans="2:5" x14ac:dyDescent="0.25">
      <c r="B18" s="113">
        <v>2011</v>
      </c>
      <c r="C18" s="111">
        <v>9</v>
      </c>
      <c r="D18" s="112">
        <f t="shared" si="0"/>
        <v>0.43999999999999995</v>
      </c>
      <c r="E18" s="114">
        <f t="shared" si="1"/>
        <v>1.44</v>
      </c>
    </row>
    <row r="19" spans="2:5" x14ac:dyDescent="0.25">
      <c r="B19" s="113">
        <v>2012</v>
      </c>
      <c r="C19" s="111">
        <v>11.25</v>
      </c>
      <c r="D19" s="112">
        <f t="shared" si="0"/>
        <v>0.25</v>
      </c>
      <c r="E19" s="114">
        <f t="shared" si="1"/>
        <v>1.25</v>
      </c>
    </row>
    <row r="20" spans="2:5" ht="15.75" thickBot="1" x14ac:dyDescent="0.3">
      <c r="B20" s="115">
        <v>2013</v>
      </c>
      <c r="C20" s="116">
        <v>15</v>
      </c>
      <c r="D20" s="117">
        <f t="shared" si="0"/>
        <v>0.33333333333333326</v>
      </c>
      <c r="E20" s="118">
        <f t="shared" si="1"/>
        <v>1.3333333333333333</v>
      </c>
    </row>
    <row r="21" spans="2:5" x14ac:dyDescent="0.25">
      <c r="B21" s="125"/>
      <c r="C21" s="126"/>
      <c r="D21" s="126"/>
      <c r="E21" s="127"/>
    </row>
    <row r="22" spans="2:5" x14ac:dyDescent="0.25">
      <c r="B22" s="134" t="s">
        <v>195</v>
      </c>
      <c r="C22" s="128"/>
      <c r="D22" s="128"/>
      <c r="E22" s="129"/>
    </row>
    <row r="23" spans="2:5" ht="15.75" thickBot="1" x14ac:dyDescent="0.3">
      <c r="B23" s="130"/>
      <c r="C23" s="177"/>
      <c r="D23" s="177"/>
      <c r="E23" s="129"/>
    </row>
    <row r="24" spans="2:5" ht="15.75" thickBot="1" x14ac:dyDescent="0.3">
      <c r="B24" s="130"/>
      <c r="C24" s="135">
        <f>GEOMEAN(E8:E20)-1</f>
        <v>0.12484560358659658</v>
      </c>
      <c r="D24" s="128" t="s">
        <v>196</v>
      </c>
      <c r="E24" s="129"/>
    </row>
    <row r="25" spans="2:5" ht="15.75" thickBot="1" x14ac:dyDescent="0.3">
      <c r="B25" s="130"/>
      <c r="C25" s="136"/>
      <c r="D25" s="128"/>
      <c r="E25" s="129"/>
    </row>
    <row r="26" spans="2:5" ht="15.75" thickBot="1" x14ac:dyDescent="0.3">
      <c r="B26" s="130"/>
      <c r="C26" s="135">
        <f>(PRODUCT(E8:E20)^(1/13))-1</f>
        <v>0.12484560358659658</v>
      </c>
      <c r="D26" s="128" t="s">
        <v>197</v>
      </c>
      <c r="E26" s="129"/>
    </row>
    <row r="27" spans="2:5" ht="15.75" thickBot="1" x14ac:dyDescent="0.3">
      <c r="B27" s="131"/>
      <c r="C27" s="132"/>
      <c r="D27" s="132"/>
      <c r="E27" s="133"/>
    </row>
  </sheetData>
  <mergeCells count="1">
    <mergeCell ref="C23:D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85" zoomScaleNormal="85" workbookViewId="0">
      <selection activeCell="H34" sqref="H34"/>
    </sheetView>
  </sheetViews>
  <sheetFormatPr defaultColWidth="9.140625" defaultRowHeight="15" x14ac:dyDescent="0.25"/>
  <cols>
    <col min="1" max="1" width="4" style="137" customWidth="1"/>
    <col min="2" max="2" width="35.7109375" style="137" customWidth="1"/>
    <col min="3" max="4" width="15.7109375" style="137" customWidth="1"/>
    <col min="5" max="16384" width="9.140625" style="137"/>
  </cols>
  <sheetData>
    <row r="1" spans="2:4" ht="48" customHeight="1" x14ac:dyDescent="0.25"/>
    <row r="5" spans="2:4" ht="15.75" customHeight="1" x14ac:dyDescent="0.25"/>
    <row r="6" spans="2:4" ht="15.75" customHeight="1" x14ac:dyDescent="0.25"/>
    <row r="7" spans="2:4" ht="3.75" customHeight="1" x14ac:dyDescent="0.25"/>
    <row r="8" spans="2:4" ht="3.75" customHeight="1" x14ac:dyDescent="0.25"/>
    <row r="9" spans="2:4" ht="3.75" customHeight="1" x14ac:dyDescent="0.25"/>
    <row r="10" spans="2:4" ht="15.75" customHeight="1" thickBot="1" x14ac:dyDescent="0.3"/>
    <row r="11" spans="2:4" s="138" customFormat="1" ht="30" customHeight="1" x14ac:dyDescent="0.25">
      <c r="B11" s="189" t="s">
        <v>176</v>
      </c>
      <c r="C11" s="190"/>
      <c r="D11" s="191"/>
    </row>
    <row r="12" spans="2:4" s="138" customFormat="1" ht="30" customHeight="1" x14ac:dyDescent="0.25">
      <c r="B12" s="192" t="s">
        <v>177</v>
      </c>
      <c r="C12" s="193"/>
      <c r="D12" s="194"/>
    </row>
    <row r="13" spans="2:4" s="138" customFormat="1" ht="30" customHeight="1" thickBot="1" x14ac:dyDescent="0.3">
      <c r="B13" s="195" t="s">
        <v>214</v>
      </c>
      <c r="C13" s="196"/>
      <c r="D13" s="197"/>
    </row>
    <row r="14" spans="2:4" s="198" customFormat="1" ht="50.1" customHeight="1" thickBot="1" x14ac:dyDescent="0.35">
      <c r="B14" s="139"/>
      <c r="C14" s="163" t="s">
        <v>215</v>
      </c>
      <c r="D14" s="164" t="s">
        <v>204</v>
      </c>
    </row>
    <row r="15" spans="2:4" ht="17.25" customHeight="1" x14ac:dyDescent="0.25">
      <c r="B15" s="140" t="s">
        <v>12</v>
      </c>
      <c r="C15" s="150">
        <v>3850000</v>
      </c>
      <c r="D15" s="141">
        <v>3432000</v>
      </c>
    </row>
    <row r="16" spans="2:4" ht="17.25" x14ac:dyDescent="0.4">
      <c r="B16" s="142" t="s">
        <v>178</v>
      </c>
      <c r="C16" s="79">
        <v>3250000</v>
      </c>
      <c r="D16" s="80">
        <v>2864000</v>
      </c>
    </row>
    <row r="17" spans="2:7" x14ac:dyDescent="0.25">
      <c r="B17" s="143" t="s">
        <v>14</v>
      </c>
      <c r="C17" s="151">
        <v>600000</v>
      </c>
      <c r="D17" s="144">
        <v>568000</v>
      </c>
    </row>
    <row r="18" spans="2:7" x14ac:dyDescent="0.25">
      <c r="B18" s="145" t="s">
        <v>2</v>
      </c>
      <c r="C18" s="78">
        <v>330300</v>
      </c>
      <c r="D18" s="77">
        <v>240000</v>
      </c>
    </row>
    <row r="19" spans="2:7" x14ac:dyDescent="0.25">
      <c r="B19" s="145" t="s">
        <v>3</v>
      </c>
      <c r="C19" s="78">
        <v>100000</v>
      </c>
      <c r="D19" s="77">
        <v>100000</v>
      </c>
    </row>
    <row r="20" spans="2:7" ht="17.25" x14ac:dyDescent="0.4">
      <c r="B20" s="142" t="s">
        <v>46</v>
      </c>
      <c r="C20" s="79">
        <v>20000</v>
      </c>
      <c r="D20" s="80">
        <v>18900</v>
      </c>
    </row>
    <row r="21" spans="2:7" x14ac:dyDescent="0.25">
      <c r="B21" s="143" t="s">
        <v>15</v>
      </c>
      <c r="C21" s="151">
        <v>149700</v>
      </c>
      <c r="D21" s="144">
        <v>209100</v>
      </c>
    </row>
    <row r="22" spans="2:7" ht="17.25" x14ac:dyDescent="0.4">
      <c r="B22" s="142" t="s">
        <v>5</v>
      </c>
      <c r="C22" s="79">
        <v>76000</v>
      </c>
      <c r="D22" s="80">
        <v>62500</v>
      </c>
    </row>
    <row r="23" spans="2:7" x14ac:dyDescent="0.25">
      <c r="B23" s="143" t="s">
        <v>16</v>
      </c>
      <c r="C23" s="151">
        <v>73700</v>
      </c>
      <c r="D23" s="144">
        <v>146600</v>
      </c>
      <c r="F23" s="62"/>
      <c r="G23" s="62"/>
    </row>
    <row r="24" spans="2:7" ht="17.25" x14ac:dyDescent="0.4">
      <c r="B24" s="142" t="s">
        <v>17</v>
      </c>
      <c r="C24" s="79">
        <v>29480</v>
      </c>
      <c r="D24" s="80">
        <v>58640</v>
      </c>
    </row>
    <row r="25" spans="2:7" ht="17.25" x14ac:dyDescent="0.4">
      <c r="B25" s="146" t="s">
        <v>18</v>
      </c>
      <c r="C25" s="152">
        <v>44220</v>
      </c>
      <c r="D25" s="147">
        <v>87960</v>
      </c>
    </row>
    <row r="26" spans="2:7" ht="6" customHeight="1" thickBot="1" x14ac:dyDescent="0.3">
      <c r="B26" s="148"/>
      <c r="C26" s="153"/>
      <c r="D26" s="149"/>
    </row>
    <row r="27" spans="2:7" ht="30" customHeight="1" thickBot="1" x14ac:dyDescent="0.3">
      <c r="B27" s="156" t="s">
        <v>199</v>
      </c>
      <c r="C27" s="154">
        <f>C17/C15</f>
        <v>0.15584415584415584</v>
      </c>
      <c r="D27" s="155">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zoomScale="130" zoomScaleNormal="130" workbookViewId="0"/>
  </sheetViews>
  <sheetFormatPr defaultRowHeight="15" x14ac:dyDescent="0.25"/>
  <cols>
    <col min="1" max="2" width="3.85546875" customWidth="1"/>
    <col min="3" max="3" width="10.42578125" customWidth="1"/>
    <col min="4" max="4" width="2.85546875" customWidth="1"/>
    <col min="5" max="5" width="2.7109375" customWidth="1"/>
    <col min="6" max="6" width="6" style="94" customWidth="1"/>
  </cols>
  <sheetData>
    <row r="1" spans="2:17" s="101" customFormat="1" x14ac:dyDescent="0.25">
      <c r="F1" s="94"/>
    </row>
    <row r="2" spans="2:17" s="101" customFormat="1" ht="139.5" customHeight="1" x14ac:dyDescent="0.25">
      <c r="F2" s="94"/>
    </row>
    <row r="3" spans="2:17" ht="15.75" thickBot="1" x14ac:dyDescent="0.3">
      <c r="B3" s="1"/>
      <c r="C3" s="158"/>
      <c r="D3" s="1"/>
      <c r="E3" s="1"/>
      <c r="F3" s="159"/>
      <c r="G3" s="1"/>
      <c r="H3" s="1"/>
      <c r="I3" s="1"/>
      <c r="J3" s="1"/>
      <c r="K3" s="1"/>
      <c r="L3" s="1"/>
      <c r="M3" s="1"/>
      <c r="N3" s="1"/>
      <c r="O3" s="1"/>
      <c r="P3" s="1"/>
      <c r="Q3" s="1"/>
    </row>
    <row r="4" spans="2:17" ht="103.15" customHeight="1" thickBot="1" x14ac:dyDescent="0.3">
      <c r="B4" s="160"/>
      <c r="C4" s="161" t="s">
        <v>122</v>
      </c>
      <c r="D4" s="178" t="s">
        <v>128</v>
      </c>
      <c r="E4" s="178"/>
      <c r="F4" s="178"/>
      <c r="G4" s="178"/>
      <c r="H4" s="178"/>
      <c r="I4" s="178"/>
      <c r="J4" s="178"/>
      <c r="K4" s="178"/>
      <c r="L4" s="178"/>
      <c r="M4" s="178"/>
      <c r="N4" s="178"/>
      <c r="O4" s="160"/>
      <c r="P4" s="160"/>
      <c r="Q4" s="160"/>
    </row>
    <row r="5" spans="2:17" ht="15.75" thickBot="1" x14ac:dyDescent="0.3">
      <c r="C5" s="95"/>
      <c r="D5" s="95"/>
    </row>
    <row r="6" spans="2:17" ht="15.75" thickBot="1" x14ac:dyDescent="0.3">
      <c r="C6" s="100" t="s">
        <v>220</v>
      </c>
      <c r="D6" s="97" t="s">
        <v>180</v>
      </c>
    </row>
    <row r="7" spans="2:17" ht="8.4499999999999993" customHeight="1" x14ac:dyDescent="0.25">
      <c r="C7" s="99"/>
      <c r="D7" s="97"/>
    </row>
    <row r="8" spans="2:17" s="101" customFormat="1" ht="14.25" customHeight="1" x14ac:dyDescent="0.25">
      <c r="C8" s="99"/>
      <c r="D8" s="96" t="s">
        <v>201</v>
      </c>
      <c r="F8" s="94"/>
    </row>
    <row r="9" spans="2:17" x14ac:dyDescent="0.25">
      <c r="C9" s="99"/>
      <c r="D9" s="96" t="s">
        <v>216</v>
      </c>
    </row>
    <row r="10" spans="2:17" x14ac:dyDescent="0.25">
      <c r="C10" s="99"/>
      <c r="D10" s="96" t="s">
        <v>217</v>
      </c>
    </row>
    <row r="11" spans="2:17" x14ac:dyDescent="0.25">
      <c r="C11" s="99"/>
      <c r="D11" s="96" t="s">
        <v>218</v>
      </c>
    </row>
    <row r="12" spans="2:17" x14ac:dyDescent="0.25">
      <c r="C12" s="99"/>
      <c r="D12" s="96" t="s">
        <v>219</v>
      </c>
    </row>
    <row r="13" spans="2:17" thickBot="1" x14ac:dyDescent="0.35">
      <c r="C13" s="99"/>
      <c r="D13" s="95"/>
    </row>
    <row r="14" spans="2:17" ht="15.75" thickBot="1" x14ac:dyDescent="0.3">
      <c r="C14" s="100" t="s">
        <v>223</v>
      </c>
      <c r="D14" s="97" t="s">
        <v>222</v>
      </c>
    </row>
    <row r="15" spans="2:17" ht="9.6" customHeight="1" x14ac:dyDescent="0.3">
      <c r="C15" s="95"/>
      <c r="D15" s="97"/>
    </row>
    <row r="16" spans="2:17" x14ac:dyDescent="0.25">
      <c r="C16" s="95"/>
      <c r="D16" s="96" t="s">
        <v>181</v>
      </c>
    </row>
    <row r="17" spans="2:17" x14ac:dyDescent="0.25">
      <c r="C17" s="95"/>
      <c r="D17" s="96" t="s">
        <v>221</v>
      </c>
    </row>
    <row r="18" spans="2:17" x14ac:dyDescent="0.25">
      <c r="C18" s="95"/>
      <c r="D18" s="96" t="s">
        <v>182</v>
      </c>
    </row>
    <row r="19" spans="2:17" x14ac:dyDescent="0.25">
      <c r="C19" s="95"/>
      <c r="D19" s="96" t="s">
        <v>183</v>
      </c>
      <c r="E19" s="95"/>
    </row>
    <row r="20" spans="2:17" x14ac:dyDescent="0.25">
      <c r="C20" s="95"/>
      <c r="D20" s="96" t="s">
        <v>184</v>
      </c>
      <c r="E20" s="95"/>
    </row>
    <row r="21" spans="2:17" ht="15.75" thickBot="1" x14ac:dyDescent="0.3">
      <c r="C21" s="95"/>
      <c r="D21" s="96"/>
      <c r="E21" s="95"/>
    </row>
    <row r="22" spans="2:17" ht="15.75" thickBot="1" x14ac:dyDescent="0.3">
      <c r="C22" s="100" t="s">
        <v>226</v>
      </c>
      <c r="D22" s="97" t="s">
        <v>123</v>
      </c>
      <c r="E22" s="95"/>
    </row>
    <row r="23" spans="2:17" x14ac:dyDescent="0.25">
      <c r="C23" s="99"/>
      <c r="D23" s="97"/>
      <c r="E23" s="95"/>
    </row>
    <row r="24" spans="2:17" x14ac:dyDescent="0.25">
      <c r="C24" s="99"/>
      <c r="D24" s="96" t="s">
        <v>124</v>
      </c>
      <c r="E24" s="95"/>
    </row>
    <row r="25" spans="2:17" x14ac:dyDescent="0.25">
      <c r="C25" s="99"/>
      <c r="D25" s="96" t="s">
        <v>224</v>
      </c>
      <c r="E25" s="95"/>
    </row>
    <row r="26" spans="2:17" x14ac:dyDescent="0.25">
      <c r="C26" s="99"/>
      <c r="D26" s="96" t="s">
        <v>202</v>
      </c>
      <c r="E26" s="95"/>
    </row>
    <row r="27" spans="2:17" x14ac:dyDescent="0.25">
      <c r="C27" s="99"/>
      <c r="D27" s="96" t="s">
        <v>225</v>
      </c>
      <c r="E27" s="95"/>
    </row>
    <row r="28" spans="2:17" x14ac:dyDescent="0.25">
      <c r="C28" s="99"/>
      <c r="D28" s="96" t="s">
        <v>125</v>
      </c>
      <c r="E28" s="95"/>
    </row>
    <row r="29" spans="2:17" s="101" customFormat="1" ht="15.75" thickBot="1" x14ac:dyDescent="0.3">
      <c r="B29" s="1"/>
      <c r="C29" s="158"/>
      <c r="D29" s="162"/>
      <c r="E29" s="1"/>
      <c r="F29" s="159"/>
      <c r="G29" s="1"/>
      <c r="H29" s="1"/>
      <c r="I29" s="1"/>
      <c r="J29" s="1"/>
      <c r="K29" s="1"/>
      <c r="L29" s="1"/>
      <c r="M29" s="1"/>
      <c r="N29" s="1"/>
      <c r="O29" s="1"/>
      <c r="P29" s="1"/>
      <c r="Q29" s="1"/>
    </row>
    <row r="30" spans="2:17" s="101" customFormat="1" ht="146.25" customHeight="1" thickBot="1" x14ac:dyDescent="0.3">
      <c r="B30" s="160"/>
      <c r="C30" s="161" t="s">
        <v>228</v>
      </c>
      <c r="D30" s="178" t="s">
        <v>229</v>
      </c>
      <c r="E30" s="178"/>
      <c r="F30" s="178"/>
      <c r="G30" s="178"/>
      <c r="H30" s="178"/>
      <c r="I30" s="178"/>
      <c r="J30" s="178"/>
      <c r="K30" s="178"/>
      <c r="L30" s="178"/>
      <c r="M30" s="178"/>
      <c r="N30" s="178"/>
      <c r="O30" s="160"/>
      <c r="P30" s="160"/>
      <c r="Q30" s="160"/>
    </row>
    <row r="31" spans="2:17" s="101" customFormat="1" ht="11.25" customHeight="1" thickBot="1" x14ac:dyDescent="0.3">
      <c r="B31" s="199"/>
      <c r="C31" s="200"/>
      <c r="D31" s="201"/>
      <c r="E31" s="201"/>
      <c r="F31" s="201"/>
      <c r="G31" s="201"/>
      <c r="H31" s="201"/>
      <c r="I31" s="201"/>
      <c r="J31" s="201"/>
      <c r="K31" s="201"/>
      <c r="L31" s="201"/>
      <c r="M31" s="201"/>
      <c r="N31" s="201"/>
      <c r="O31" s="199"/>
      <c r="P31" s="199"/>
      <c r="Q31" s="199"/>
    </row>
    <row r="32" spans="2:17" s="101" customFormat="1" ht="16.5" customHeight="1" thickBot="1" x14ac:dyDescent="0.3">
      <c r="B32" s="199"/>
      <c r="C32" s="202" t="s">
        <v>240</v>
      </c>
      <c r="D32" s="203"/>
      <c r="E32" s="203"/>
      <c r="F32" s="204"/>
      <c r="G32" s="101" t="s">
        <v>230</v>
      </c>
      <c r="H32" s="201"/>
      <c r="I32" s="201"/>
      <c r="J32" s="201"/>
      <c r="K32" s="201"/>
      <c r="L32" s="201"/>
      <c r="M32" s="201"/>
      <c r="N32" s="201"/>
      <c r="O32" s="199"/>
      <c r="P32" s="199"/>
      <c r="Q32" s="199"/>
    </row>
    <row r="33" spans="1:17" s="101" customFormat="1" ht="16.5" customHeight="1" thickBot="1" x14ac:dyDescent="0.3">
      <c r="B33" s="199"/>
      <c r="C33" s="200"/>
      <c r="D33" s="201"/>
      <c r="E33" s="201"/>
      <c r="F33" s="201"/>
      <c r="H33" s="201"/>
      <c r="I33" s="201"/>
      <c r="J33" s="201"/>
      <c r="K33" s="201"/>
      <c r="L33" s="201"/>
      <c r="M33" s="201"/>
      <c r="N33" s="201"/>
      <c r="O33" s="199"/>
      <c r="P33" s="199"/>
      <c r="Q33" s="199"/>
    </row>
    <row r="34" spans="1:17" s="101" customFormat="1" ht="16.5" customHeight="1" thickBot="1" x14ac:dyDescent="0.3">
      <c r="B34" s="199"/>
      <c r="C34" s="202" t="s">
        <v>40</v>
      </c>
      <c r="D34" s="203"/>
      <c r="E34" s="203"/>
      <c r="F34" s="204"/>
      <c r="G34" s="101" t="s">
        <v>231</v>
      </c>
      <c r="H34" s="201"/>
      <c r="I34" s="201"/>
      <c r="J34" s="201"/>
      <c r="K34" s="201"/>
      <c r="L34" s="201"/>
      <c r="M34" s="201"/>
      <c r="N34" s="201"/>
      <c r="O34" s="199"/>
      <c r="P34" s="199"/>
      <c r="Q34" s="199"/>
    </row>
    <row r="35" spans="1:17" s="101" customFormat="1" ht="16.5" customHeight="1" x14ac:dyDescent="0.25">
      <c r="B35" s="199"/>
      <c r="C35" s="200"/>
      <c r="D35" s="201"/>
      <c r="E35" s="201"/>
      <c r="F35" s="201"/>
      <c r="G35" s="101" t="s">
        <v>185</v>
      </c>
      <c r="H35" s="201"/>
      <c r="I35" s="201"/>
      <c r="J35" s="201"/>
      <c r="K35" s="201"/>
      <c r="L35" s="201"/>
      <c r="M35" s="201"/>
      <c r="N35" s="201"/>
      <c r="O35" s="199"/>
      <c r="P35" s="199"/>
      <c r="Q35" s="199"/>
    </row>
    <row r="36" spans="1:17" s="101" customFormat="1" ht="12" customHeight="1" thickBot="1" x14ac:dyDescent="0.3">
      <c r="B36" s="199"/>
      <c r="C36" s="200"/>
      <c r="D36" s="201"/>
      <c r="E36" s="201"/>
      <c r="F36" s="201"/>
      <c r="H36" s="201"/>
      <c r="I36" s="201"/>
      <c r="J36" s="201"/>
      <c r="K36" s="201"/>
      <c r="L36" s="201"/>
      <c r="M36" s="201"/>
      <c r="N36" s="201"/>
      <c r="O36" s="199"/>
      <c r="P36" s="199"/>
      <c r="Q36" s="199"/>
    </row>
    <row r="37" spans="1:17" s="101" customFormat="1" ht="16.5" customHeight="1" thickBot="1" x14ac:dyDescent="0.3">
      <c r="B37" s="199"/>
      <c r="C37" s="202" t="s">
        <v>241</v>
      </c>
      <c r="D37" s="203"/>
      <c r="E37" s="203"/>
      <c r="F37" s="204"/>
      <c r="G37" s="101" t="s">
        <v>232</v>
      </c>
      <c r="H37" s="201"/>
      <c r="I37" s="201"/>
      <c r="J37" s="201"/>
      <c r="K37" s="201"/>
      <c r="L37" s="201"/>
      <c r="M37" s="201"/>
      <c r="N37" s="201"/>
      <c r="O37" s="199"/>
      <c r="P37" s="199"/>
      <c r="Q37" s="199"/>
    </row>
    <row r="38" spans="1:17" s="101" customFormat="1" x14ac:dyDescent="0.25">
      <c r="C38" s="99"/>
      <c r="D38" s="96"/>
      <c r="F38" s="94"/>
      <c r="G38" s="205" t="s">
        <v>233</v>
      </c>
    </row>
    <row r="39" spans="1:17" ht="15.75" thickBot="1" x14ac:dyDescent="0.3">
      <c r="A39" s="101"/>
      <c r="B39" s="1"/>
      <c r="C39" s="158"/>
      <c r="D39" s="162"/>
      <c r="E39" s="1"/>
      <c r="F39" s="159"/>
      <c r="G39" s="1"/>
      <c r="H39" s="1"/>
      <c r="I39" s="1"/>
      <c r="J39" s="1"/>
      <c r="K39" s="1"/>
      <c r="L39" s="1"/>
      <c r="M39" s="1"/>
      <c r="N39" s="1"/>
      <c r="O39" s="1"/>
      <c r="P39" s="1"/>
      <c r="Q39" s="1"/>
    </row>
    <row r="40" spans="1:17" ht="121.15" customHeight="1" thickBot="1" x14ac:dyDescent="0.3">
      <c r="B40" s="160"/>
      <c r="C40" s="161" t="s">
        <v>126</v>
      </c>
      <c r="D40" s="178" t="s">
        <v>129</v>
      </c>
      <c r="E40" s="178"/>
      <c r="F40" s="178"/>
      <c r="G40" s="178"/>
      <c r="H40" s="178"/>
      <c r="I40" s="178"/>
      <c r="J40" s="178"/>
      <c r="K40" s="178"/>
      <c r="L40" s="178"/>
      <c r="M40" s="178"/>
      <c r="N40" s="178"/>
      <c r="O40" s="160"/>
      <c r="P40" s="160"/>
      <c r="Q40" s="160"/>
    </row>
    <row r="41" spans="1:17" ht="15.75" thickBot="1" x14ac:dyDescent="0.3">
      <c r="C41" s="95"/>
      <c r="D41" s="95"/>
      <c r="E41" s="95"/>
    </row>
    <row r="42" spans="1:17" ht="15.75" thickBot="1" x14ac:dyDescent="0.3">
      <c r="C42" s="100" t="b">
        <v>1</v>
      </c>
      <c r="D42" s="95" t="s">
        <v>186</v>
      </c>
      <c r="E42" s="95"/>
    </row>
    <row r="43" spans="1:17" x14ac:dyDescent="0.25">
      <c r="C43" s="95"/>
      <c r="D43" s="101" t="s">
        <v>234</v>
      </c>
      <c r="E43" s="95"/>
    </row>
    <row r="44" spans="1:17" ht="15.75" thickBot="1" x14ac:dyDescent="0.3">
      <c r="C44" s="99"/>
      <c r="D44" s="95"/>
      <c r="E44" s="95"/>
    </row>
    <row r="45" spans="1:17" ht="15.75" thickBot="1" x14ac:dyDescent="0.3">
      <c r="C45" s="100" t="b">
        <v>0</v>
      </c>
      <c r="D45" s="95" t="s">
        <v>187</v>
      </c>
      <c r="E45" s="95"/>
    </row>
    <row r="46" spans="1:17" x14ac:dyDescent="0.25">
      <c r="C46" s="95"/>
      <c r="D46" s="95" t="s">
        <v>127</v>
      </c>
      <c r="E46" s="95"/>
    </row>
    <row r="47" spans="1:17" ht="15.75" thickBot="1" x14ac:dyDescent="0.3">
      <c r="C47" s="99"/>
      <c r="D47" s="95"/>
      <c r="E47" s="95"/>
    </row>
    <row r="48" spans="1:17" ht="15.75" thickBot="1" x14ac:dyDescent="0.3">
      <c r="C48" s="100" t="b">
        <v>0</v>
      </c>
      <c r="D48" s="95" t="s">
        <v>188</v>
      </c>
      <c r="E48" s="95"/>
    </row>
    <row r="49" spans="2:17" ht="15.75" thickBot="1" x14ac:dyDescent="0.3">
      <c r="C49" s="99"/>
      <c r="D49" s="95"/>
      <c r="E49" s="95"/>
    </row>
    <row r="50" spans="2:17" ht="15.75" thickBot="1" x14ac:dyDescent="0.3">
      <c r="C50" s="100" t="b">
        <v>0</v>
      </c>
      <c r="D50" s="95" t="s">
        <v>235</v>
      </c>
      <c r="E50" s="95"/>
    </row>
    <row r="51" spans="2:17" ht="15.75" thickBot="1" x14ac:dyDescent="0.3">
      <c r="C51" s="95"/>
      <c r="D51" s="95"/>
      <c r="E51" s="95"/>
    </row>
    <row r="52" spans="2:17" ht="15.75" thickBot="1" x14ac:dyDescent="0.3">
      <c r="B52" s="95"/>
      <c r="C52" s="100" t="b">
        <v>0</v>
      </c>
      <c r="D52" s="98" t="s">
        <v>236</v>
      </c>
      <c r="E52" s="95"/>
    </row>
    <row r="53" spans="2:17" x14ac:dyDescent="0.25">
      <c r="B53" s="95"/>
      <c r="C53" s="95"/>
      <c r="D53" s="95" t="s">
        <v>130</v>
      </c>
      <c r="E53" s="95"/>
    </row>
    <row r="54" spans="2:17" ht="15.75" thickBot="1" x14ac:dyDescent="0.3"/>
    <row r="55" spans="2:17" s="101" customFormat="1" ht="15.75" thickBot="1" x14ac:dyDescent="0.3">
      <c r="C55" s="157" t="b">
        <v>1</v>
      </c>
      <c r="D55" s="101" t="s">
        <v>237</v>
      </c>
      <c r="E55" s="99"/>
    </row>
    <row r="56" spans="2:17" s="101" customFormat="1" x14ac:dyDescent="0.25">
      <c r="D56" s="101" t="s">
        <v>200</v>
      </c>
      <c r="E56" s="99"/>
    </row>
    <row r="57" spans="2:17" s="101" customFormat="1" ht="15.75" thickBot="1" x14ac:dyDescent="0.3">
      <c r="F57" s="94"/>
    </row>
    <row r="58" spans="2:17" s="101" customFormat="1" ht="15.75" thickBot="1" x14ac:dyDescent="0.3">
      <c r="C58" s="157" t="b">
        <v>1</v>
      </c>
      <c r="D58" s="98" t="s">
        <v>238</v>
      </c>
      <c r="E58" s="99"/>
    </row>
    <row r="59" spans="2:17" s="101" customFormat="1" x14ac:dyDescent="0.25">
      <c r="D59" s="101" t="s">
        <v>227</v>
      </c>
      <c r="E59" s="99"/>
    </row>
    <row r="60" spans="2:17" ht="15.75" thickBot="1" x14ac:dyDescent="0.3"/>
    <row r="61" spans="2:17" s="101" customFormat="1" ht="15.75" thickBot="1" x14ac:dyDescent="0.3">
      <c r="C61" s="157" t="b">
        <v>1</v>
      </c>
      <c r="D61" s="98" t="s">
        <v>239</v>
      </c>
      <c r="E61" s="99"/>
    </row>
    <row r="62" spans="2:17" s="101" customFormat="1" x14ac:dyDescent="0.25">
      <c r="D62" s="101" t="s">
        <v>203</v>
      </c>
      <c r="E62" s="99"/>
    </row>
    <row r="63" spans="2:17" ht="15.75" thickBot="1" x14ac:dyDescent="0.3">
      <c r="B63" s="1"/>
      <c r="C63" s="1"/>
      <c r="D63" s="1"/>
      <c r="E63" s="1"/>
      <c r="F63" s="159"/>
      <c r="G63" s="1"/>
      <c r="H63" s="1"/>
      <c r="I63" s="1"/>
      <c r="J63" s="1"/>
      <c r="K63" s="1"/>
      <c r="L63" s="1"/>
      <c r="M63" s="1"/>
      <c r="N63" s="1"/>
      <c r="O63" s="1"/>
      <c r="P63" s="1"/>
      <c r="Q63" s="1"/>
    </row>
  </sheetData>
  <mergeCells count="6">
    <mergeCell ref="D4:N4"/>
    <mergeCell ref="D40:N40"/>
    <mergeCell ref="D30:N30"/>
    <mergeCell ref="C32:F32"/>
    <mergeCell ref="C34:F34"/>
    <mergeCell ref="C37:F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election activeCell="B4" sqref="B4:C17"/>
    </sheetView>
  </sheetViews>
  <sheetFormatPr defaultRowHeight="15" x14ac:dyDescent="0.25"/>
  <cols>
    <col min="3" max="3" width="21.85546875" customWidth="1"/>
  </cols>
  <sheetData>
    <row r="2" spans="2:3" ht="21" x14ac:dyDescent="0.4">
      <c r="B2" s="105" t="s">
        <v>189</v>
      </c>
      <c r="C2" s="101"/>
    </row>
    <row r="3" spans="2:3" ht="15.75" thickBot="1" x14ac:dyDescent="0.3">
      <c r="B3" s="101"/>
      <c r="C3" s="101"/>
    </row>
    <row r="4" spans="2:3" x14ac:dyDescent="0.25">
      <c r="B4" s="106">
        <v>1</v>
      </c>
      <c r="C4" s="102" t="str">
        <f>'MC-TF - 20 Pts'!C6</f>
        <v>E</v>
      </c>
    </row>
    <row r="5" spans="2:3" x14ac:dyDescent="0.25">
      <c r="B5" s="107">
        <v>2</v>
      </c>
      <c r="C5" s="103" t="str">
        <f>'MC-TF - 20 Pts'!C14</f>
        <v>A</v>
      </c>
    </row>
    <row r="6" spans="2:3" ht="15.75" thickBot="1" x14ac:dyDescent="0.3">
      <c r="B6" s="108">
        <v>3</v>
      </c>
      <c r="C6" s="104" t="str">
        <f>'MC-TF - 20 Pts'!C22</f>
        <v>B</v>
      </c>
    </row>
    <row r="7" spans="2:3" x14ac:dyDescent="0.25">
      <c r="B7" s="110">
        <v>4</v>
      </c>
      <c r="C7" s="109" t="str">
        <f>'MC-TF - 20 Pts'!C32:F32</f>
        <v>VisiCalc</v>
      </c>
    </row>
    <row r="8" spans="2:3" x14ac:dyDescent="0.25">
      <c r="B8" s="107">
        <v>5</v>
      </c>
      <c r="C8" s="109" t="str">
        <f>'MC-TF - 20 Pts'!C34:F34</f>
        <v>Retained Earnings</v>
      </c>
    </row>
    <row r="9" spans="2:3" x14ac:dyDescent="0.25">
      <c r="B9" s="107">
        <v>6</v>
      </c>
      <c r="C9" s="109" t="str">
        <f>'MC-TF - 20 Pts'!C37:F37</f>
        <v>a constant</v>
      </c>
    </row>
    <row r="10" spans="2:3" x14ac:dyDescent="0.25">
      <c r="B10" s="107">
        <v>7</v>
      </c>
      <c r="C10" s="103" t="b">
        <f>'MC-TF - 20 Pts'!C42</f>
        <v>1</v>
      </c>
    </row>
    <row r="11" spans="2:3" x14ac:dyDescent="0.25">
      <c r="B11" s="107">
        <v>8</v>
      </c>
      <c r="C11" s="103" t="b">
        <f>'MC-TF - 20 Pts'!C45</f>
        <v>0</v>
      </c>
    </row>
    <row r="12" spans="2:3" x14ac:dyDescent="0.25">
      <c r="B12" s="107">
        <v>9</v>
      </c>
      <c r="C12" s="103" t="b">
        <f>'MC-TF - 20 Pts'!C48</f>
        <v>0</v>
      </c>
    </row>
    <row r="13" spans="2:3" x14ac:dyDescent="0.25">
      <c r="B13" s="107">
        <v>10</v>
      </c>
      <c r="C13" s="103" t="b">
        <f>'MC-TF - 20 Pts'!C50</f>
        <v>0</v>
      </c>
    </row>
    <row r="14" spans="2:3" x14ac:dyDescent="0.25">
      <c r="B14" s="107">
        <v>11</v>
      </c>
      <c r="C14" s="103" t="b">
        <f>'MC-TF - 20 Pts'!C52</f>
        <v>0</v>
      </c>
    </row>
    <row r="15" spans="2:3" x14ac:dyDescent="0.25">
      <c r="B15" s="107">
        <v>12</v>
      </c>
      <c r="C15" s="103" t="b">
        <f>'MC-TF - 20 Pts'!C55</f>
        <v>1</v>
      </c>
    </row>
    <row r="16" spans="2:3" x14ac:dyDescent="0.25">
      <c r="B16" s="107">
        <v>13</v>
      </c>
      <c r="C16" s="103" t="b">
        <f>'MC-TF - 20 Pts'!C58</f>
        <v>1</v>
      </c>
    </row>
    <row r="17" spans="2:3" ht="15.75" thickBot="1" x14ac:dyDescent="0.3">
      <c r="B17" s="108">
        <v>14</v>
      </c>
      <c r="C17" s="104" t="b">
        <f>'MC-TF - 20 Pts'!C61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1 - 25 Pts</vt:lpstr>
      <vt:lpstr>Prob 2 - 25 Pts </vt:lpstr>
      <vt:lpstr>Scenario Summary</vt:lpstr>
      <vt:lpstr>Prob 3 - 10 Pts</vt:lpstr>
      <vt:lpstr>Prob 4 - 10 - Pts</vt:lpstr>
      <vt:lpstr>Prob 5 - 10 Pts</vt:lpstr>
      <vt:lpstr>MC-TF - 20 Pts</vt:lpstr>
      <vt:lpstr>Sheet3</vt:lpstr>
      <vt:lpstr>Collect0</vt:lpstr>
      <vt:lpstr>Collect1</vt:lpstr>
      <vt:lpstr>Collect2</vt:lpstr>
      <vt:lpstr>NCF</vt:lpstr>
      <vt:lpstr>'Prob 1 - 25 Pts'!Print_Area</vt:lpstr>
      <vt:lpstr>'Prob 2 - 25 Pts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2014-09-23T16:25:30Z</cp:lastPrinted>
  <dcterms:created xsi:type="dcterms:W3CDTF">2010-01-07T16:00:30Z</dcterms:created>
  <dcterms:modified xsi:type="dcterms:W3CDTF">2014-09-23T16:31:54Z</dcterms:modified>
</cp:coreProperties>
</file>