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dhawley\Dropbox\Class\Fall 2018\Exam 1\"/>
    </mc:Choice>
  </mc:AlternateContent>
  <xr:revisionPtr revIDLastSave="0" documentId="13_ncr:1_{34D6CE53-9458-4886-887A-DFC52D1EFE9A}" xr6:coauthVersionLast="40" xr6:coauthVersionMax="40" xr10:uidLastSave="{00000000-0000-0000-0000-000000000000}"/>
  <bookViews>
    <workbookView xWindow="2640" yWindow="645" windowWidth="20115" windowHeight="7935" tabRatio="887" xr2:uid="{00000000-000D-0000-FFFF-FFFF00000000}"/>
  </bookViews>
  <sheets>
    <sheet name="INSTRUCTIONS" sheetId="8" r:id="rId1"/>
    <sheet name="Prob 1 - 30 Pts" sheetId="1" r:id="rId2"/>
    <sheet name="Prob 2 - 25 Pts " sheetId="6" r:id="rId3"/>
    <sheet name="Scenario Summary" sheetId="29" r:id="rId4"/>
    <sheet name="Prob 3 - 10 Pts" sheetId="7" r:id="rId5"/>
    <sheet name="Prob 4 - 5 - Pts" sheetId="21" r:id="rId6"/>
    <sheet name="Prob 5 - 5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0" i="1" l="1"/>
  <c r="D91" i="1" l="1"/>
  <c r="D75" i="1"/>
  <c r="D24" i="21" l="1"/>
  <c r="D9" i="19" l="1"/>
  <c r="J8" i="19"/>
  <c r="J7" i="19"/>
  <c r="J6" i="19"/>
  <c r="J5" i="19"/>
  <c r="J4" i="19"/>
  <c r="G9" i="19"/>
  <c r="G8" i="19"/>
  <c r="G7" i="19"/>
  <c r="G6" i="19"/>
  <c r="G5" i="19"/>
  <c r="G4" i="19"/>
  <c r="D8" i="19"/>
  <c r="D23" i="21"/>
  <c r="E23" i="21" s="1"/>
  <c r="D22" i="21" l="1"/>
  <c r="E22" i="21" s="1"/>
  <c r="E24" i="21"/>
  <c r="D21" i="21" l="1"/>
  <c r="E21" i="21" s="1"/>
  <c r="D20" i="21" l="1"/>
  <c r="E20" i="21" s="1"/>
  <c r="D7" i="19" l="1"/>
  <c r="D6" i="19"/>
  <c r="D5" i="19"/>
  <c r="D4" i="19"/>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30" i="21" l="1"/>
  <c r="C28" i="21"/>
  <c r="F46" i="6"/>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85" i="1" s="1"/>
  <c r="D47" i="1"/>
  <c r="D46" i="1"/>
  <c r="D77" i="1" s="1"/>
  <c r="E66" i="1"/>
  <c r="E60" i="1"/>
  <c r="E62" i="1" s="1"/>
  <c r="E52" i="1"/>
  <c r="G30" i="1"/>
  <c r="G28" i="1"/>
  <c r="G27" i="1"/>
  <c r="G26" i="1"/>
  <c r="G24" i="1"/>
  <c r="G23" i="1"/>
  <c r="D30" i="1"/>
  <c r="D28" i="1"/>
  <c r="D27" i="1"/>
  <c r="D26" i="1"/>
  <c r="D23"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44"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l="1"/>
  <c r="G54" i="1"/>
  <c r="G49" i="1"/>
  <c r="E32" i="1"/>
  <c r="E33" i="1" s="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<sst xmlns="http://schemas.openxmlformats.org/spreadsheetml/2006/main" count="288" uniqueCount="238">
  <si>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</si>
  <si>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</si>
  <si>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</si>
  <si>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</si>
  <si>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</si>
  <si>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</si>
  <si>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</si>
  <si>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</si>
  <si>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</si>
  <si>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</si>
  <si>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</si>
  <si>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</si>
  <si>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</si>
  <si>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</si>
  <si>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</si>
  <si>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</si>
  <si>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</si>
  <si>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</si>
  <si>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</si>
  <si>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</si>
  <si>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</si>
  <si>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</si>
  <si>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</si>
  <si>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</si>
  <si>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</si>
  <si>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</si>
  <si>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</si>
  <si>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</si>
  <si>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</si>
  <si>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</si>
  <si>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</si>
  <si>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</si>
  <si>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</si>
  <si>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</si>
  <si>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</si>
  <si>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</si>
  <si>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</si>
  <si>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</si>
  <si>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</si>
  <si>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</si>
  <si>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</si>
  <si>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</si>
  <si>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</si>
  <si>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</si>
  <si>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</si>
  <si>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</si>
  <si>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</si>
  <si>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</si>
  <si>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</si>
  <si>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</si>
  <si>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</si>
  <si>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</si>
  <si>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</si>
  <si>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</si>
  <si>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</si>
  <si>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</si>
  <si>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</si>
  <si>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</si>
  <si>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</si>
  <si>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</si>
  <si>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</si>
  <si>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</si>
  <si>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</si>
  <si>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</si>
  <si>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</si>
  <si>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</si>
  <si>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</si>
  <si>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</si>
  <si>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</si>
  <si>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</si>
  <si>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</si>
  <si>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</si>
  <si>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</si>
  <si>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</si>
  <si>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</si>
  <si>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</si>
  <si>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</si>
  <si>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</si>
  <si>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</si>
  <si>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</si>
  <si>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</si>
  <si>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</si>
  <si>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</si>
  <si>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</si>
  <si>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</si>
  <si>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</si>
  <si>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</si>
  <si>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</si>
  <si>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</si>
  <si>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</si>
  <si>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</si>
  <si>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</si>
  <si>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</si>
  <si>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</si>
  <si>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</si>
  <si>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</si>
  <si>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</si>
  <si>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</si>
  <si>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</si>
  <si>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</si>
  <si>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</si>
  <si>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</si>
  <si>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</si>
  <si>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</si>
  <si>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</si>
  <si>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</si>
  <si>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</si>
  <si>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</si>
  <si>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</si>
  <si>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</si>
  <si>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</si>
  <si>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</si>
  <si>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</si>
  <si>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</si>
  <si>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</si>
  <si>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</si>
  <si>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</si>
  <si>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</si>
  <si>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</si>
  <si>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</si>
  <si>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</si>
  <si>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</si>
  <si>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</si>
  <si>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</si>
  <si>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</si>
  <si>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</si>
  <si>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</si>
  <si>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</si>
  <si>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</si>
  <si>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</si>
  <si>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</si>
  <si>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</si>
  <si>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</si>
  <si>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</si>
  <si>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</si>
  <si>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</si>
  <si>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</si>
  <si>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</si>
  <si>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</si>
  <si>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</si>
  <si>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</si>
  <si>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</si>
  <si>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</si>
  <si>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</si>
  <si>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</si>
  <si>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</si>
  <si>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</si>
  <si>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</si>
  <si>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</si>
  <si>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</si>
  <si>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</si>
  <si>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</si>
  <si>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</si>
  <si>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</si>
  <si>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</si>
  <si>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</si>
  <si>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</si>
  <si>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</si>
  <si>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</si>
  <si>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</si>
  <si>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</si>
  <si>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</si>
  <si>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</si>
  <si>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</si>
  <si>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</si>
  <si>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</si>
  <si>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</si>
  <si>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</si>
  <si>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</si>
  <si>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</si>
  <si>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</si>
  <si>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</si>
  <si>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</si>
  <si>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</si>
  <si>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</si>
  <si>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</si>
  <si>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</si>
  <si>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</si>
  <si>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</si>
  <si>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</si>
  <si>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</si>
  <si>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</si>
  <si>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</si>
  <si>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</si>
  <si>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</si>
  <si>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</si>
  <si>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</si>
  <si>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</si>
  <si>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</si>
  <si>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</si>
  <si>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</si>
  <si>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</si>
  <si>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</si>
  <si>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</si>
  <si>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</si>
  <si>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</si>
  <si>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</si>
  <si>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</si>
  <si>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</si>
  <si>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</si>
  <si>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</si>
  <si>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</si>
  <si>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</si>
  <si>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</si>
  <si>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</si>
  <si>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</si>
  <si>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</si>
  <si>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</si>
  <si>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</si>
  <si>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</si>
  <si>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</si>
  <si>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</si>
  <si>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</si>
  <si>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</si>
  <si>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</si>
  <si>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</si>
  <si>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</si>
  <si>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</si>
  <si>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</si>
  <si>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</si>
  <si>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</si>
  <si>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2016</t>
  </si>
  <si>
    <t>FY
2016</t>
  </si>
  <si>
    <t>Inputs for 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</si>
  <si>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</si>
  <si>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</si>
  <si>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Complete the 2016 and 2017 Income Statements and Balance Sheets using</t>
  </si>
  <si>
    <t xml:space="preserve">appropriately use the 2017 inputs. All computations should reflect any changes </t>
  </si>
  <si>
    <t>Create the common size income statements and balance sheets for 2016 and 2017</t>
  </si>
  <si>
    <t>2017</t>
  </si>
  <si>
    <t>2016-2017</t>
  </si>
  <si>
    <t>For the Year Ended Dec. 31, 2017</t>
  </si>
  <si>
    <t>FY
2017</t>
  </si>
  <si>
    <t xml:space="preserve"> 16. Operating profit margin equals operating profit (EBIT) divided by net income for a period.</t>
  </si>
  <si>
    <t xml:space="preserve"> 17. In the statement of cash flows, the entry for depreciation is always a cash outflow and so should have a negative sign.</t>
  </si>
  <si>
    <t>Created by Del on 9/22/2011
Modified by D Hawley on 9/22/2013
Modified by Del on 6/9/2014
Modified by Del Hawley on 2/16/2015
Modified by Del Hawley on 6/12/2016
Modified by Del Hawley on 2/19/2018
Modified by Hawley, Del on 7/2/2018</t>
  </si>
  <si>
    <t>Created by Del on 9/22/2011
Modified by Del on 6/9/2012
Modified by D Hawley on 9/22/2013
Modified by Del on 6/9/2014
Modified by Del Hawley on 2/16/2015
Modified by Del Hawley on 6/12/2016
Modified by Hawley, Del on 7/2/2018</t>
  </si>
  <si>
    <t>Cash Flows from Operations (in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</si>
</sst>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12">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43" fontId="7" fillId="0" borderId="0" xfId="0" quotePrefix="1" applyNumberFormat="1" applyFont="1" applyAlignment="1">
      <alignment horizontal="center"/>
    </xf>
    <xf numFmtId="0" fontId="3" fillId="9"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5" xfId="0" applyFont="1" applyFill="1" applyBorder="1" applyAlignment="1">
      <alignment horizontal="center" vertical="center"/>
    </xf>
    <xf numFmtId="0" fontId="3" fillId="10" borderId="23" xfId="0" applyFont="1" applyFill="1" applyBorder="1" applyAlignment="1">
      <alignment horizontal="center" vertical="center"/>
    </xf>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-38752</c:v>
                </c:pt>
                <c:pt idx="4">
                  <c:v>-24385</c:v>
                </c:pt>
                <c:pt idx="5">
                  <c:v>-8145</c:v>
                </c:pt>
                <c:pt idx="6">
                  <c:v>0</c:v>
                </c:pt>
                <c:pt idx="7">
                  <c:v>0</c:v>
                </c:pt>
                <c:pt idx="8">
                  <c:v>0</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11000</c:v>
                </c:pt>
                <c:pt idx="1">
                  <c:v>22157.5</c:v>
                </c:pt>
                <c:pt idx="2">
                  <c:v>35066.5</c:v>
                </c:pt>
                <c:pt idx="3">
                  <c:v>0</c:v>
                </c:pt>
                <c:pt idx="4">
                  <c:v>0</c:v>
                </c:pt>
                <c:pt idx="5">
                  <c:v>0</c:v>
                </c:pt>
                <c:pt idx="6">
                  <c:v>6037.5</c:v>
                </c:pt>
                <c:pt idx="7">
                  <c:v>23017.5</c:v>
                </c:pt>
                <c:pt idx="8">
                  <c:v>39308.75</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75000"/>
          <c:min val="-5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90</xdr:row>
      <xdr:rowOff>114300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80121"/>
          <a:ext cx="2109581" cy="331262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-$50,000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9</xdr:row>
      <xdr:rowOff>47625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5751" y="137273"/>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a:extLst>
            <a:ext uri="{FF2B5EF4-FFF2-40B4-BE49-F238E27FC236}">
              <a16:creationId xmlns:a16="http://schemas.microsoft.com/office/drawing/2014/main" id="{00000000-0008-0000-0600-000008000000}"/>
            </a:ext>
          </a:extLst>
        </xdr:cNvPr>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581025</xdr:colOff>
      <xdr:row>4</xdr:row>
      <xdr:rowOff>47625</xdr:rowOff>
    </xdr:from>
    <xdr:to>
      <xdr:col>23</xdr:col>
      <xdr:colOff>122739</xdr:colOff>
      <xdr:row>29</xdr:row>
      <xdr:rowOff>189725</xdr:rowOff>
    </xdr:to>
    <xdr:pic>
      <xdr:nvPicPr>
        <xdr:cNvPr id="3" name="Picture 2">
          <a:extLst>
            <a:ext uri="{FF2B5EF4-FFF2-40B4-BE49-F238E27FC236}">
              <a16:creationId xmlns:a16="http://schemas.microsoft.com/office/drawing/2014/main" id="{CEEF2BFA-C471-416C-8CD2-0AE2E91F8CEA}"/>
            </a:ext>
          </a:extLst>
        </xdr:cNvPr>
        <xdr:cNvPicPr>
          <a:picLocks noChangeAspect="1"/>
        </xdr:cNvPicPr>
      </xdr:nvPicPr>
      <xdr:blipFill>
        <a:blip xmlns:r="http://schemas.openxmlformats.org/officeDocument/2006/relationships" r:embed="rId1"/>
        <a:stretch>
          <a:fillRect/>
        </a:stretch>
      </xdr:blipFill>
      <xdr:spPr>
        <a:xfrm>
          <a:off x="8201025" y="1228725"/>
          <a:ext cx="8685714" cy="62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15" zoomScaleNormal="115" workbookViewId="0">
      <selection activeCell="A2" sqref="A2"/>
    </sheetView>
  </sheetViews>
  <sheetFormatPr defaultRowHeight="15" x14ac:dyDescent="0.25"/>
  <cols>
    <col min="1" max="1" width="3.140625" customWidth="1"/>
    <col min="2" max="2" width="4.5703125" customWidth="1"/>
  </cols>
  <sheetData>
    <row r="2" spans="2:2" ht="18.75" x14ac:dyDescent="0.3">
      <c r="B2" s="53" t="s">
        <v>110</v>
      </c>
    </row>
    <row r="3" spans="2:2" ht="18.75" x14ac:dyDescent="0.3">
      <c r="B3" s="53" t="s">
        <v>111</v>
      </c>
    </row>
    <row r="4" spans="2:2" ht="18.75" x14ac:dyDescent="0.3">
      <c r="B4" s="53" t="s">
        <v>112</v>
      </c>
    </row>
    <row r="5" spans="2:2" ht="11.1" customHeight="1" x14ac:dyDescent="0.3">
      <c r="B5" s="53"/>
    </row>
    <row r="6" spans="2:2" ht="18.75" x14ac:dyDescent="0.3">
      <c r="B6" s="53" t="s">
        <v>113</v>
      </c>
    </row>
    <row r="7" spans="2:2" ht="18.75" x14ac:dyDescent="0.3">
      <c r="B7" s="53" t="s">
        <v>127</v>
      </c>
    </row>
    <row r="8" spans="2:2" ht="11.1" customHeight="1" x14ac:dyDescent="0.3">
      <c r="B8" s="53"/>
    </row>
    <row r="9" spans="2:2" s="52" customFormat="1" ht="18.75" x14ac:dyDescent="0.3">
      <c r="B9" s="53" t="s">
        <v>116</v>
      </c>
    </row>
    <row r="10" spans="2:2" s="52" customFormat="1" ht="18.75" x14ac:dyDescent="0.3">
      <c r="B10" s="53" t="s">
        <v>117</v>
      </c>
    </row>
    <row r="11" spans="2:2" s="52" customFormat="1" ht="18.75" x14ac:dyDescent="0.3">
      <c r="B11" s="53" t="s">
        <v>118</v>
      </c>
    </row>
    <row r="12" spans="2:2" ht="14.1" customHeight="1" x14ac:dyDescent="0.3">
      <c r="B12" s="53"/>
    </row>
    <row r="13" spans="2:2" x14ac:dyDescent="0.25">
      <c r="B13" s="52" t="s">
        <v>128</v>
      </c>
    </row>
    <row r="14" spans="2:2" ht="8.4499999999999993" customHeight="1" x14ac:dyDescent="0.3">
      <c r="B14" s="53"/>
    </row>
    <row r="15" spans="2:2" x14ac:dyDescent="0.25">
      <c r="B15" s="52" t="s">
        <v>114</v>
      </c>
    </row>
    <row r="16" spans="2:2" ht="6" customHeight="1" x14ac:dyDescent="0.25">
      <c r="B16" s="52"/>
    </row>
    <row r="17" spans="2:3" x14ac:dyDescent="0.25">
      <c r="B17" s="52" t="s">
        <v>115</v>
      </c>
    </row>
    <row r="18" spans="2:3" x14ac:dyDescent="0.25">
      <c r="B18" s="52"/>
    </row>
    <row r="19" spans="2:3" s="54" customFormat="1" x14ac:dyDescent="0.25">
      <c r="B19" s="54" t="s">
        <v>129</v>
      </c>
    </row>
    <row r="20" spans="2:3" s="54" customFormat="1" x14ac:dyDescent="0.25">
      <c r="B20" s="54" t="s">
        <v>173</v>
      </c>
    </row>
    <row r="21" spans="2:3" s="54" customFormat="1" x14ac:dyDescent="0.25">
      <c r="B21" s="54" t="s">
        <v>130</v>
      </c>
    </row>
    <row r="22" spans="2:3" s="54" customFormat="1" x14ac:dyDescent="0.25"/>
    <row r="23" spans="2:3" s="54" customFormat="1" ht="18.75" x14ac:dyDescent="0.3">
      <c r="B23" s="55" t="s">
        <v>119</v>
      </c>
    </row>
    <row r="24" spans="2:3" s="52" customFormat="1" x14ac:dyDescent="0.25"/>
    <row r="25" spans="2:3" s="52" customFormat="1" ht="6.6" customHeight="1" x14ac:dyDescent="0.25"/>
    <row r="26" spans="2:3" s="52" customFormat="1" ht="18.75" x14ac:dyDescent="0.3">
      <c r="C26" s="55" t="s">
        <v>120</v>
      </c>
    </row>
    <row r="27" spans="2:3" s="52" customFormat="1" ht="18.75" x14ac:dyDescent="0.3">
      <c r="C27" s="55" t="s">
        <v>131</v>
      </c>
    </row>
    <row r="28" spans="2:3" s="52" customFormat="1" ht="18.75" x14ac:dyDescent="0.3">
      <c r="C28" s="55"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94" t="s">
        <v>223</v>
      </c>
      <c r="C2" s="194"/>
      <c r="D2" s="194"/>
      <c r="I2" s="78"/>
      <c r="J2" s="79"/>
      <c r="K2" s="80"/>
      <c r="L2" s="81"/>
    </row>
    <row r="3" spans="2:12" s="3" customFormat="1" ht="18.75" customHeight="1" x14ac:dyDescent="0.25">
      <c r="B3" s="4" t="s">
        <v>0</v>
      </c>
      <c r="C3" s="4"/>
      <c r="D3" s="162">
        <v>0.35</v>
      </c>
      <c r="I3" s="82"/>
      <c r="J3" s="83" t="s">
        <v>64</v>
      </c>
      <c r="K3" s="163" t="s">
        <v>226</v>
      </c>
      <c r="L3" s="85"/>
    </row>
    <row r="4" spans="2:12" s="3" customFormat="1" x14ac:dyDescent="0.25">
      <c r="B4" s="4" t="s">
        <v>1</v>
      </c>
      <c r="C4" s="4"/>
      <c r="D4" s="158">
        <v>350000</v>
      </c>
      <c r="I4" s="82"/>
      <c r="J4" s="86"/>
      <c r="K4" s="163" t="s">
        <v>65</v>
      </c>
      <c r="L4" s="85"/>
    </row>
    <row r="5" spans="2:12" s="3" customFormat="1" x14ac:dyDescent="0.25">
      <c r="B5" s="4" t="s">
        <v>12</v>
      </c>
      <c r="C5" s="4"/>
      <c r="D5" s="159">
        <v>6420000</v>
      </c>
      <c r="I5" s="82"/>
      <c r="J5" s="86"/>
      <c r="K5" s="163" t="s">
        <v>227</v>
      </c>
      <c r="L5" s="85"/>
    </row>
    <row r="6" spans="2:12" s="3" customFormat="1" x14ac:dyDescent="0.25">
      <c r="B6" s="4" t="s">
        <v>2</v>
      </c>
      <c r="C6" s="4"/>
      <c r="D6" s="159">
        <v>800000</v>
      </c>
      <c r="I6" s="82"/>
      <c r="J6" s="86"/>
      <c r="K6" s="163" t="s">
        <v>67</v>
      </c>
      <c r="L6" s="85"/>
    </row>
    <row r="7" spans="2:12" s="56" customFormat="1" x14ac:dyDescent="0.25">
      <c r="B7" s="4" t="s">
        <v>4</v>
      </c>
      <c r="C7" s="4"/>
      <c r="D7" s="159">
        <v>750000</v>
      </c>
      <c r="I7" s="82"/>
      <c r="J7" s="84"/>
      <c r="K7" s="163"/>
      <c r="L7" s="85"/>
    </row>
    <row r="8" spans="2:12" s="56" customFormat="1" x14ac:dyDescent="0.25">
      <c r="B8" s="4" t="s">
        <v>5</v>
      </c>
      <c r="C8" s="4"/>
      <c r="D8" s="159">
        <v>95000</v>
      </c>
      <c r="I8" s="82"/>
      <c r="J8" s="83" t="s">
        <v>66</v>
      </c>
      <c r="K8" s="163" t="s">
        <v>228</v>
      </c>
      <c r="L8" s="85"/>
    </row>
    <row r="9" spans="2:12" s="3" customFormat="1" x14ac:dyDescent="0.25">
      <c r="B9" s="4" t="s">
        <v>3</v>
      </c>
      <c r="C9" s="4"/>
      <c r="D9" s="159">
        <v>746000</v>
      </c>
      <c r="I9" s="82"/>
      <c r="J9" s="86"/>
      <c r="K9" s="163" t="s">
        <v>68</v>
      </c>
      <c r="L9" s="85"/>
    </row>
    <row r="10" spans="2:12" s="3" customFormat="1" x14ac:dyDescent="0.25">
      <c r="B10" s="4" t="s">
        <v>7</v>
      </c>
      <c r="C10" s="4"/>
      <c r="D10" s="159">
        <v>2345000</v>
      </c>
      <c r="I10" s="82"/>
      <c r="J10" s="86"/>
      <c r="K10" s="163"/>
      <c r="L10" s="85"/>
    </row>
    <row r="11" spans="2:12" s="3" customFormat="1" x14ac:dyDescent="0.25">
      <c r="B11" s="4" t="s">
        <v>8</v>
      </c>
      <c r="C11" s="4"/>
      <c r="D11" s="159">
        <v>1425000</v>
      </c>
      <c r="I11" s="82"/>
      <c r="J11" s="83" t="s">
        <v>69</v>
      </c>
      <c r="K11" s="163" t="s">
        <v>70</v>
      </c>
      <c r="L11" s="85"/>
    </row>
    <row r="12" spans="2:12" s="3" customFormat="1" x14ac:dyDescent="0.25">
      <c r="B12" s="4" t="s">
        <v>9</v>
      </c>
      <c r="C12" s="4"/>
      <c r="D12" s="159">
        <v>945000</v>
      </c>
      <c r="I12" s="82"/>
      <c r="J12" s="86"/>
      <c r="K12" s="163" t="s">
        <v>71</v>
      </c>
      <c r="L12" s="85"/>
    </row>
    <row r="13" spans="2:12" s="3" customFormat="1" ht="15.75" thickBot="1" x14ac:dyDescent="0.3">
      <c r="B13" s="4" t="s">
        <v>6</v>
      </c>
      <c r="C13" s="4"/>
      <c r="D13" s="160">
        <v>0.35</v>
      </c>
      <c r="I13" s="87"/>
      <c r="J13" s="90"/>
      <c r="K13" s="89"/>
      <c r="L13" s="88"/>
    </row>
    <row r="14" spans="2:12" s="3" customFormat="1" ht="15.75" thickBot="1" x14ac:dyDescent="0.3">
      <c r="B14" s="6" t="s">
        <v>72</v>
      </c>
      <c r="C14" s="6"/>
      <c r="D14" s="161">
        <v>285000</v>
      </c>
      <c r="I14" s="50"/>
      <c r="J14" s="51"/>
      <c r="K14" s="50"/>
      <c r="L14" s="50"/>
    </row>
    <row r="15" spans="2:12" s="3" customFormat="1" ht="17.25" x14ac:dyDescent="0.4">
      <c r="B15" s="7" t="s">
        <v>224</v>
      </c>
      <c r="C15" s="7"/>
      <c r="D15" s="5"/>
      <c r="I15" s="50"/>
      <c r="J15" s="51"/>
      <c r="K15" s="50"/>
      <c r="L15" s="50"/>
    </row>
    <row r="16" spans="2:12" ht="15.75" thickBot="1" x14ac:dyDescent="0.3">
      <c r="B16" s="8" t="s">
        <v>225</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95" t="s">
        <v>10</v>
      </c>
      <c r="C18" s="195"/>
      <c r="D18" s="195"/>
      <c r="E18" s="195"/>
      <c r="F18" s="195"/>
      <c r="G18" s="195"/>
      <c r="I18" s="50"/>
      <c r="J18" s="51"/>
      <c r="K18" s="50"/>
      <c r="L18" s="50"/>
    </row>
    <row r="19" spans="2:12" ht="21" customHeight="1" x14ac:dyDescent="0.3">
      <c r="B19" s="195" t="s">
        <v>230</v>
      </c>
      <c r="C19" s="195"/>
      <c r="D19" s="195"/>
      <c r="E19" s="195"/>
      <c r="F19" s="195"/>
      <c r="G19" s="195"/>
      <c r="I19" s="50"/>
      <c r="J19" s="51"/>
      <c r="K19" s="50"/>
      <c r="L19" s="50"/>
    </row>
    <row r="20" spans="2:12" ht="21" customHeight="1" thickBot="1" x14ac:dyDescent="0.35">
      <c r="B20" s="189" t="s">
        <v>11</v>
      </c>
      <c r="C20" s="189"/>
      <c r="D20" s="190"/>
      <c r="E20" s="190"/>
      <c r="F20" s="190"/>
      <c r="G20" s="190"/>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8" t="s">
        <v>229</v>
      </c>
      <c r="E22" s="178" t="s">
        <v>221</v>
      </c>
      <c r="F22" s="178" t="s">
        <v>229</v>
      </c>
      <c r="G22" s="178" t="s">
        <v>221</v>
      </c>
      <c r="I22" s="50"/>
      <c r="J22" s="51"/>
      <c r="K22" s="50"/>
      <c r="L22" s="50"/>
    </row>
    <row r="23" spans="2:12" x14ac:dyDescent="0.25">
      <c r="B23" s="3" t="s">
        <v>12</v>
      </c>
      <c r="C23" s="3"/>
      <c r="D23" s="10">
        <f>D5/1000</f>
        <v>6420</v>
      </c>
      <c r="E23" s="10">
        <v>6625</v>
      </c>
      <c r="F23" s="11">
        <f>D23/D$23</f>
        <v>1</v>
      </c>
      <c r="G23" s="11">
        <f>E23/E$23</f>
        <v>1</v>
      </c>
      <c r="I23" s="50"/>
      <c r="J23" s="51"/>
      <c r="K23" s="50"/>
      <c r="L23" s="50"/>
    </row>
    <row r="24" spans="2:12" ht="17.25" x14ac:dyDescent="0.4">
      <c r="B24" s="12" t="s">
        <v>13</v>
      </c>
      <c r="C24" s="12"/>
      <c r="D24" s="12">
        <f>E24/E23*D23</f>
        <v>3048.652075471698</v>
      </c>
      <c r="E24" s="12">
        <v>3146</v>
      </c>
      <c r="F24" s="11">
        <f t="shared" ref="F24:G33" si="0">D24/D$23</f>
        <v>0.4748679245283019</v>
      </c>
      <c r="G24" s="11">
        <f t="shared" si="0"/>
        <v>0.4748679245283019</v>
      </c>
      <c r="H24" s="13"/>
      <c r="I24" s="50"/>
      <c r="J24" s="51"/>
      <c r="K24" s="50"/>
      <c r="L24" s="50"/>
    </row>
    <row r="25" spans="2:12" x14ac:dyDescent="0.25">
      <c r="B25" s="3" t="s">
        <v>14</v>
      </c>
      <c r="C25" s="3"/>
      <c r="D25" s="10">
        <f>D23-D24</f>
        <v>3371.347924528302</v>
      </c>
      <c r="E25" s="10">
        <f>E23-E24</f>
        <v>3479</v>
      </c>
      <c r="F25" s="11">
        <f t="shared" si="0"/>
        <v>0.52513207547169816</v>
      </c>
      <c r="G25" s="11">
        <f t="shared" si="0"/>
        <v>0.52513207547169816</v>
      </c>
    </row>
    <row r="26" spans="2:12" x14ac:dyDescent="0.25">
      <c r="B26" s="3" t="s">
        <v>2</v>
      </c>
      <c r="C26" s="3"/>
      <c r="D26" s="3">
        <f>D6/1000</f>
        <v>800</v>
      </c>
      <c r="E26" s="3">
        <v>942</v>
      </c>
      <c r="F26" s="11">
        <f t="shared" si="0"/>
        <v>0.12461059190031153</v>
      </c>
      <c r="G26" s="11">
        <f t="shared" si="0"/>
        <v>0.14218867924528303</v>
      </c>
    </row>
    <row r="27" spans="2:12" x14ac:dyDescent="0.25">
      <c r="B27" s="3" t="s">
        <v>3</v>
      </c>
      <c r="C27" s="3"/>
      <c r="D27" s="3">
        <f>D9/1000</f>
        <v>746</v>
      </c>
      <c r="E27" s="3">
        <v>746</v>
      </c>
      <c r="F27" s="11">
        <f t="shared" si="0"/>
        <v>0.11619937694704049</v>
      </c>
      <c r="G27" s="11">
        <f t="shared" si="0"/>
        <v>0.11260377358490566</v>
      </c>
    </row>
    <row r="28" spans="2:12" ht="17.25" x14ac:dyDescent="0.4">
      <c r="B28" s="12" t="s">
        <v>4</v>
      </c>
      <c r="C28" s="12"/>
      <c r="D28" s="29">
        <f>D7/1000</f>
        <v>750</v>
      </c>
      <c r="E28" s="12">
        <v>800</v>
      </c>
      <c r="F28" s="11">
        <f t="shared" si="0"/>
        <v>0.11682242990654206</v>
      </c>
      <c r="G28" s="11">
        <f t="shared" si="0"/>
        <v>0.12075471698113208</v>
      </c>
    </row>
    <row r="29" spans="2:12" x14ac:dyDescent="0.25">
      <c r="B29" s="3" t="s">
        <v>15</v>
      </c>
      <c r="C29" s="3"/>
      <c r="D29" s="10">
        <f>D25-D26-D27-D28</f>
        <v>1075.347924528302</v>
      </c>
      <c r="E29" s="10">
        <f>E25-E26-E27-E28</f>
        <v>991</v>
      </c>
      <c r="F29" s="11">
        <f t="shared" si="0"/>
        <v>0.16749967671780405</v>
      </c>
      <c r="G29" s="11">
        <f t="shared" si="0"/>
        <v>0.14958490566037735</v>
      </c>
    </row>
    <row r="30" spans="2:12" ht="17.25" x14ac:dyDescent="0.4">
      <c r="B30" s="12" t="s">
        <v>5</v>
      </c>
      <c r="C30" s="12"/>
      <c r="D30" s="12">
        <f>D8/1000</f>
        <v>95</v>
      </c>
      <c r="E30" s="12">
        <v>115</v>
      </c>
      <c r="F30" s="11">
        <f t="shared" si="0"/>
        <v>1.4797507788161994E-2</v>
      </c>
      <c r="G30" s="11">
        <f t="shared" si="0"/>
        <v>1.7358490566037735E-2</v>
      </c>
    </row>
    <row r="31" spans="2:12" x14ac:dyDescent="0.25">
      <c r="B31" s="3" t="s">
        <v>16</v>
      </c>
      <c r="C31" s="3"/>
      <c r="D31" s="10">
        <f>D29-D30</f>
        <v>980.34792452830197</v>
      </c>
      <c r="E31" s="10">
        <f>E29-E30</f>
        <v>876</v>
      </c>
      <c r="F31" s="11">
        <f t="shared" si="0"/>
        <v>0.15270216892964206</v>
      </c>
      <c r="G31" s="11">
        <f t="shared" si="0"/>
        <v>0.13222641509433963</v>
      </c>
    </row>
    <row r="32" spans="2:12" ht="17.25" x14ac:dyDescent="0.4">
      <c r="B32" s="12" t="s">
        <v>17</v>
      </c>
      <c r="C32" s="12"/>
      <c r="D32" s="12">
        <f>D31*D3</f>
        <v>343.12177358490567</v>
      </c>
      <c r="E32" s="12">
        <f>E31*0.35</f>
        <v>306.59999999999997</v>
      </c>
      <c r="F32" s="11">
        <f t="shared" si="0"/>
        <v>5.3445759125374713E-2</v>
      </c>
      <c r="G32" s="11">
        <f t="shared" si="0"/>
        <v>4.6279245283018862E-2</v>
      </c>
    </row>
    <row r="33" spans="2:7" x14ac:dyDescent="0.25">
      <c r="B33" s="3" t="s">
        <v>18</v>
      </c>
      <c r="C33" s="3"/>
      <c r="D33" s="10">
        <f>D31-D32</f>
        <v>637.22615094339631</v>
      </c>
      <c r="E33" s="10">
        <f>E31-E32</f>
        <v>569.40000000000009</v>
      </c>
      <c r="F33" s="11">
        <f t="shared" si="0"/>
        <v>9.9256409804267337E-2</v>
      </c>
      <c r="G33" s="11">
        <f t="shared" si="0"/>
        <v>8.5947169811320764E-2</v>
      </c>
    </row>
    <row r="34" spans="2:7" ht="18" thickBot="1" x14ac:dyDescent="0.45">
      <c r="B34" s="29"/>
      <c r="C34" s="12"/>
      <c r="D34" s="12"/>
      <c r="E34" s="12"/>
      <c r="F34" s="11"/>
      <c r="G34" s="11"/>
    </row>
    <row r="35" spans="2:7" ht="15.75" thickBot="1" x14ac:dyDescent="0.3">
      <c r="B35" s="3" t="s">
        <v>19</v>
      </c>
      <c r="D35" s="28">
        <f>D33/D4*1000</f>
        <v>1.8206461455525609</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95" t="s">
        <v>20</v>
      </c>
      <c r="C39" s="195"/>
      <c r="D39" s="195"/>
      <c r="E39" s="195"/>
      <c r="F39" s="195"/>
      <c r="G39" s="195"/>
    </row>
    <row r="40" spans="2:7" ht="18.75" x14ac:dyDescent="0.3">
      <c r="B40" s="195" t="s">
        <v>230</v>
      </c>
      <c r="C40" s="195"/>
      <c r="D40" s="195"/>
      <c r="E40" s="195"/>
      <c r="F40" s="195"/>
      <c r="G40" s="195"/>
    </row>
    <row r="41" spans="2:7" ht="19.5" thickBot="1" x14ac:dyDescent="0.35">
      <c r="B41" s="189" t="s">
        <v>11</v>
      </c>
      <c r="C41" s="189"/>
      <c r="D41" s="190"/>
      <c r="E41" s="190"/>
      <c r="F41" s="190"/>
      <c r="G41" s="190"/>
    </row>
    <row r="42" spans="2:7" ht="18.75" x14ac:dyDescent="0.3">
      <c r="B42" s="14"/>
      <c r="C42" s="14"/>
      <c r="D42" s="9"/>
      <c r="E42" s="9"/>
      <c r="F42" s="9"/>
      <c r="G42" s="9"/>
    </row>
    <row r="43" spans="2:7" ht="17.25" x14ac:dyDescent="0.4">
      <c r="D43" s="178" t="s">
        <v>229</v>
      </c>
      <c r="E43" s="178" t="s">
        <v>221</v>
      </c>
      <c r="F43" s="178" t="s">
        <v>229</v>
      </c>
      <c r="G43" s="178" t="s">
        <v>221</v>
      </c>
    </row>
    <row r="44" spans="2:7" x14ac:dyDescent="0.25">
      <c r="B44" s="15" t="s">
        <v>21</v>
      </c>
      <c r="C44" s="3"/>
      <c r="D44" s="16">
        <f>D49-D48-D47-D46-D45</f>
        <v>8164.7261509433956</v>
      </c>
      <c r="E44" s="16">
        <f>E49-E48-E47-E46-E45</f>
        <v>6942</v>
      </c>
      <c r="F44" s="11">
        <f>D44/D$67</f>
        <v>0.49604264834475581</v>
      </c>
      <c r="G44" s="11">
        <f>E44/E$67</f>
        <v>0.43166272851635368</v>
      </c>
    </row>
    <row r="45" spans="2:7" x14ac:dyDescent="0.25">
      <c r="B45" s="15" t="s">
        <v>22</v>
      </c>
      <c r="C45" s="3"/>
      <c r="D45" s="63">
        <v>675</v>
      </c>
      <c r="E45" s="3">
        <v>725</v>
      </c>
      <c r="F45" s="11">
        <f t="shared" ref="F45:G67" si="1">D45/D$67</f>
        <v>4.1009187747714268E-2</v>
      </c>
      <c r="G45" s="11">
        <f t="shared" si="1"/>
        <v>4.5081457530157944E-2</v>
      </c>
    </row>
    <row r="46" spans="2:7" x14ac:dyDescent="0.25">
      <c r="B46" s="15" t="s">
        <v>23</v>
      </c>
      <c r="C46" s="3"/>
      <c r="D46" s="3">
        <f>D10/1000</f>
        <v>2345</v>
      </c>
      <c r="E46" s="3">
        <v>2190</v>
      </c>
      <c r="F46" s="11">
        <f t="shared" si="1"/>
        <v>0.1424689559531703</v>
      </c>
      <c r="G46" s="11">
        <f t="shared" si="1"/>
        <v>0.1361770924014426</v>
      </c>
    </row>
    <row r="47" spans="2:7" x14ac:dyDescent="0.25">
      <c r="B47" s="15" t="s">
        <v>8</v>
      </c>
      <c r="C47" s="3"/>
      <c r="D47" s="56">
        <f>D11/1000</f>
        <v>1425</v>
      </c>
      <c r="E47" s="3">
        <v>1645</v>
      </c>
      <c r="F47" s="11">
        <f t="shared" si="1"/>
        <v>8.6574951911841225E-2</v>
      </c>
      <c r="G47" s="11">
        <f t="shared" si="1"/>
        <v>0.10228827260291008</v>
      </c>
    </row>
    <row r="48" spans="2:7" ht="17.25" x14ac:dyDescent="0.4">
      <c r="B48" s="17" t="s">
        <v>24</v>
      </c>
      <c r="C48" s="3"/>
      <c r="D48" s="64">
        <v>380</v>
      </c>
      <c r="E48" s="12">
        <v>560</v>
      </c>
      <c r="F48" s="11">
        <f t="shared" si="1"/>
        <v>2.308665384315766E-2</v>
      </c>
      <c r="G48" s="11">
        <f t="shared" si="1"/>
        <v>3.4821539609501309E-2</v>
      </c>
    </row>
    <row r="49" spans="2:7" x14ac:dyDescent="0.25">
      <c r="B49" s="18" t="s">
        <v>25</v>
      </c>
      <c r="C49" s="18"/>
      <c r="D49" s="19">
        <f>D54-D53-D52</f>
        <v>12989.726150943396</v>
      </c>
      <c r="E49" s="19">
        <f>E54-E53-E52</f>
        <v>12062</v>
      </c>
      <c r="F49" s="11">
        <f t="shared" si="1"/>
        <v>0.78918239780063926</v>
      </c>
      <c r="G49" s="11">
        <f t="shared" si="1"/>
        <v>0.75003109066036566</v>
      </c>
    </row>
    <row r="50" spans="2:7" x14ac:dyDescent="0.25">
      <c r="B50" s="15" t="s">
        <v>26</v>
      </c>
      <c r="C50" s="3"/>
      <c r="D50" s="3">
        <f>E50+D14/1000</f>
        <v>6770</v>
      </c>
      <c r="E50" s="3">
        <v>6485</v>
      </c>
      <c r="F50" s="11">
        <f t="shared" si="1"/>
        <v>0.41130696452151938</v>
      </c>
      <c r="G50" s="11">
        <f t="shared" si="1"/>
        <v>0.40324586494217135</v>
      </c>
    </row>
    <row r="51" spans="2:7" ht="17.25" x14ac:dyDescent="0.4">
      <c r="B51" s="17" t="s">
        <v>27</v>
      </c>
      <c r="C51" s="3"/>
      <c r="D51" s="12">
        <f>E51+D28</f>
        <v>4040</v>
      </c>
      <c r="E51" s="12">
        <v>3290</v>
      </c>
      <c r="F51" s="11">
        <f t="shared" si="1"/>
        <v>0.24544758296409724</v>
      </c>
      <c r="G51" s="11">
        <f t="shared" si="1"/>
        <v>0.20457654520582016</v>
      </c>
    </row>
    <row r="52" spans="2:7" x14ac:dyDescent="0.25">
      <c r="B52" s="18" t="s">
        <v>28</v>
      </c>
      <c r="C52" s="3"/>
      <c r="D52" s="19">
        <f>D50-D51</f>
        <v>2730</v>
      </c>
      <c r="E52" s="19">
        <f>E50-E51</f>
        <v>3195</v>
      </c>
      <c r="F52" s="11">
        <f t="shared" si="1"/>
        <v>0.16585938155742214</v>
      </c>
      <c r="G52" s="11">
        <f t="shared" si="1"/>
        <v>0.19866931973635121</v>
      </c>
    </row>
    <row r="53" spans="2:7" ht="17.25" x14ac:dyDescent="0.4">
      <c r="B53" s="20" t="s">
        <v>29</v>
      </c>
      <c r="C53" s="3"/>
      <c r="D53" s="64">
        <v>740</v>
      </c>
      <c r="E53" s="12">
        <v>825</v>
      </c>
      <c r="F53" s="11">
        <f t="shared" si="1"/>
        <v>4.49582206419386E-2</v>
      </c>
      <c r="G53" s="11">
        <f t="shared" si="1"/>
        <v>5.1299589603283173E-2</v>
      </c>
    </row>
    <row r="54" spans="2:7" x14ac:dyDescent="0.25">
      <c r="B54" s="21" t="s">
        <v>30</v>
      </c>
      <c r="C54" s="21"/>
      <c r="D54" s="22">
        <f>D67</f>
        <v>16459.726150943396</v>
      </c>
      <c r="E54" s="22">
        <f>E67</f>
        <v>16082</v>
      </c>
      <c r="F54" s="11">
        <f t="shared" si="1"/>
        <v>1</v>
      </c>
      <c r="G54" s="11">
        <f t="shared" si="1"/>
        <v>1</v>
      </c>
    </row>
    <row r="55" spans="2:7" x14ac:dyDescent="0.25">
      <c r="B55" s="3"/>
      <c r="C55" s="3"/>
      <c r="D55" s="3"/>
      <c r="E55" s="3"/>
      <c r="F55" s="11"/>
      <c r="G55" s="11"/>
    </row>
    <row r="56" spans="2:7" x14ac:dyDescent="0.25">
      <c r="B56" s="15" t="s">
        <v>31</v>
      </c>
      <c r="C56" s="3"/>
      <c r="D56" s="16">
        <f>D12/1000</f>
        <v>945</v>
      </c>
      <c r="E56" s="16">
        <v>1262</v>
      </c>
      <c r="F56" s="11">
        <f t="shared" si="1"/>
        <v>5.7412862846799972E-2</v>
      </c>
      <c r="G56" s="11">
        <f t="shared" si="1"/>
        <v>7.8472826762840439E-2</v>
      </c>
    </row>
    <row r="57" spans="2:7" x14ac:dyDescent="0.25">
      <c r="B57" s="15" t="s">
        <v>32</v>
      </c>
      <c r="C57" s="3"/>
      <c r="D57" s="63">
        <v>115</v>
      </c>
      <c r="E57" s="3">
        <v>150</v>
      </c>
      <c r="F57" s="11">
        <f t="shared" si="1"/>
        <v>6.9867505051661345E-3</v>
      </c>
      <c r="G57" s="11">
        <f t="shared" si="1"/>
        <v>9.3271981096878492E-3</v>
      </c>
    </row>
    <row r="58" spans="2:7" x14ac:dyDescent="0.25">
      <c r="B58" s="15" t="s">
        <v>33</v>
      </c>
      <c r="C58" s="3"/>
      <c r="D58" s="63">
        <v>245</v>
      </c>
      <c r="E58" s="3">
        <v>360</v>
      </c>
      <c r="F58" s="11">
        <f t="shared" si="1"/>
        <v>1.4884816293614808E-2</v>
      </c>
      <c r="G58" s="11">
        <f t="shared" si="1"/>
        <v>2.238527546325084E-2</v>
      </c>
    </row>
    <row r="59" spans="2:7" ht="17.25" x14ac:dyDescent="0.4">
      <c r="B59" s="17" t="s">
        <v>34</v>
      </c>
      <c r="C59" s="3"/>
      <c r="D59" s="64">
        <v>450</v>
      </c>
      <c r="E59" s="12">
        <v>320</v>
      </c>
      <c r="F59" s="11">
        <f t="shared" si="1"/>
        <v>2.7339458498476178E-2</v>
      </c>
      <c r="G59" s="11">
        <f t="shared" si="1"/>
        <v>1.9898022634000746E-2</v>
      </c>
    </row>
    <row r="60" spans="2:7" x14ac:dyDescent="0.25">
      <c r="B60" s="18" t="s">
        <v>35</v>
      </c>
      <c r="C60" s="3"/>
      <c r="D60" s="19">
        <f>SUM(D56:D59)</f>
        <v>1755</v>
      </c>
      <c r="E60" s="19">
        <f>SUM(E56:E59)</f>
        <v>2092</v>
      </c>
      <c r="F60" s="11">
        <f t="shared" si="1"/>
        <v>0.10662388814405709</v>
      </c>
      <c r="G60" s="11">
        <f t="shared" si="1"/>
        <v>0.13008332296977987</v>
      </c>
    </row>
    <row r="61" spans="2:7" ht="17.25" x14ac:dyDescent="0.4">
      <c r="B61" s="17" t="s">
        <v>36</v>
      </c>
      <c r="C61" s="3"/>
      <c r="D61" s="64">
        <v>4050</v>
      </c>
      <c r="E61" s="12">
        <v>3850</v>
      </c>
      <c r="F61" s="11">
        <f t="shared" si="1"/>
        <v>0.24605512648628561</v>
      </c>
      <c r="G61" s="11">
        <f t="shared" si="1"/>
        <v>0.23939808481532149</v>
      </c>
    </row>
    <row r="62" spans="2:7" x14ac:dyDescent="0.25">
      <c r="B62" s="18" t="s">
        <v>37</v>
      </c>
      <c r="C62" s="3"/>
      <c r="D62" s="19">
        <f>D60+D61</f>
        <v>5805</v>
      </c>
      <c r="E62" s="19">
        <f>E60+E61</f>
        <v>5942</v>
      </c>
      <c r="F62" s="11">
        <f t="shared" si="1"/>
        <v>0.35267901463034268</v>
      </c>
      <c r="G62" s="11">
        <f t="shared" si="1"/>
        <v>0.36948140778510136</v>
      </c>
    </row>
    <row r="63" spans="2:7" x14ac:dyDescent="0.25">
      <c r="B63" s="15" t="s">
        <v>38</v>
      </c>
      <c r="C63" s="3"/>
      <c r="D63" s="63">
        <v>4525</v>
      </c>
      <c r="E63" s="3">
        <v>4525</v>
      </c>
      <c r="F63" s="11">
        <f t="shared" si="1"/>
        <v>0.27491344379023269</v>
      </c>
      <c r="G63" s="11">
        <f t="shared" si="1"/>
        <v>0.28137047630891682</v>
      </c>
    </row>
    <row r="64" spans="2:7" x14ac:dyDescent="0.25">
      <c r="B64" s="15" t="s">
        <v>39</v>
      </c>
      <c r="C64" s="3"/>
      <c r="D64" s="63">
        <v>1450</v>
      </c>
      <c r="E64" s="3">
        <v>1450</v>
      </c>
      <c r="F64" s="11">
        <f t="shared" si="1"/>
        <v>8.8093810717312121E-2</v>
      </c>
      <c r="G64" s="11">
        <f t="shared" si="1"/>
        <v>9.0162915060315887E-2</v>
      </c>
    </row>
    <row r="65" spans="2:7" ht="17.25" x14ac:dyDescent="0.4">
      <c r="B65" s="17" t="s">
        <v>40</v>
      </c>
      <c r="C65" s="3"/>
      <c r="D65" s="12">
        <f>D33-(D13*D4/1000)+E65</f>
        <v>4679.7261509433965</v>
      </c>
      <c r="E65" s="12">
        <v>4165</v>
      </c>
      <c r="F65" s="11">
        <f t="shared" si="1"/>
        <v>0.28431373086211259</v>
      </c>
      <c r="G65" s="11">
        <f t="shared" si="1"/>
        <v>0.25898520084566595</v>
      </c>
    </row>
    <row r="66" spans="2:7" ht="17.25" x14ac:dyDescent="0.4">
      <c r="B66" s="23" t="s">
        <v>41</v>
      </c>
      <c r="C66" s="3"/>
      <c r="D66" s="24">
        <f>D63+D64+D65</f>
        <v>10654.726150943396</v>
      </c>
      <c r="E66" s="24">
        <f>E63+E64+E65</f>
        <v>10140</v>
      </c>
      <c r="F66" s="11">
        <f t="shared" si="1"/>
        <v>0.64732098536965732</v>
      </c>
      <c r="G66" s="11">
        <f t="shared" si="1"/>
        <v>0.6305185922148987</v>
      </c>
    </row>
    <row r="67" spans="2:7" x14ac:dyDescent="0.25">
      <c r="B67" s="21" t="s">
        <v>42</v>
      </c>
      <c r="C67" s="21"/>
      <c r="D67" s="22">
        <f>D66+D62</f>
        <v>16459.726150943396</v>
      </c>
      <c r="E67" s="22">
        <f>E66+E62</f>
        <v>16082</v>
      </c>
      <c r="F67" s="11">
        <f t="shared" si="1"/>
        <v>1</v>
      </c>
      <c r="G67" s="11">
        <f t="shared" si="1"/>
        <v>1</v>
      </c>
    </row>
    <row r="68" spans="2:7" ht="15.75" thickBot="1" x14ac:dyDescent="0.3">
      <c r="B68" s="25"/>
      <c r="C68" s="25"/>
      <c r="D68" s="26"/>
      <c r="E68" s="26"/>
    </row>
    <row r="69" spans="2:7" ht="18.75" x14ac:dyDescent="0.3">
      <c r="B69" s="191" t="s">
        <v>43</v>
      </c>
      <c r="C69" s="191"/>
      <c r="D69" s="191"/>
      <c r="E69" s="191"/>
    </row>
    <row r="70" spans="2:7" ht="19.5" thickBot="1" x14ac:dyDescent="0.35">
      <c r="B70" s="192" t="s">
        <v>11</v>
      </c>
      <c r="C70" s="192"/>
      <c r="D70" s="192"/>
      <c r="E70" s="192"/>
    </row>
    <row r="72" spans="2:7" ht="17.25" x14ac:dyDescent="0.4">
      <c r="D72" s="193" t="s">
        <v>229</v>
      </c>
      <c r="E72" s="193"/>
    </row>
    <row r="73" spans="2:7" ht="15.75" x14ac:dyDescent="0.25">
      <c r="B73" s="27" t="s">
        <v>237</v>
      </c>
      <c r="C73" s="3"/>
      <c r="D73" s="3"/>
    </row>
    <row r="74" spans="2:7" x14ac:dyDescent="0.25">
      <c r="B74" s="15" t="s">
        <v>44</v>
      </c>
      <c r="C74" s="3"/>
      <c r="D74" s="3"/>
    </row>
    <row r="75" spans="2:7" x14ac:dyDescent="0.25">
      <c r="B75" s="15" t="s">
        <v>45</v>
      </c>
      <c r="C75" s="3"/>
      <c r="D75" s="166">
        <f>D7/1000</f>
        <v>750</v>
      </c>
    </row>
    <row r="76" spans="2:7" x14ac:dyDescent="0.25">
      <c r="B76" s="15" t="s">
        <v>46</v>
      </c>
      <c r="C76" s="3"/>
      <c r="D76" s="164"/>
    </row>
    <row r="77" spans="2:7" x14ac:dyDescent="0.25">
      <c r="B77" s="15" t="s">
        <v>47</v>
      </c>
      <c r="C77" s="3"/>
      <c r="D77" s="166">
        <f>E46-D46</f>
        <v>-155</v>
      </c>
    </row>
    <row r="78" spans="2:7" x14ac:dyDescent="0.25">
      <c r="B78" s="15" t="s">
        <v>48</v>
      </c>
      <c r="C78" s="3"/>
      <c r="D78" s="164"/>
    </row>
    <row r="79" spans="2:7" x14ac:dyDescent="0.25">
      <c r="B79" s="15" t="s">
        <v>49</v>
      </c>
      <c r="C79" s="3"/>
      <c r="D79" s="98"/>
    </row>
    <row r="80" spans="2:7" x14ac:dyDescent="0.25">
      <c r="B80" s="15" t="s">
        <v>50</v>
      </c>
      <c r="C80" s="3"/>
      <c r="D80" s="166">
        <f>D56-E56</f>
        <v>-317</v>
      </c>
    </row>
    <row r="81" spans="2:4" ht="17.25" x14ac:dyDescent="0.4">
      <c r="B81" s="17" t="s">
        <v>51</v>
      </c>
      <c r="C81" s="3"/>
      <c r="D81" s="164"/>
    </row>
    <row r="82" spans="2:4" x14ac:dyDescent="0.25">
      <c r="B82" s="18" t="s">
        <v>52</v>
      </c>
      <c r="C82" s="18"/>
      <c r="D82" s="18"/>
    </row>
    <row r="83" spans="2:4" x14ac:dyDescent="0.25">
      <c r="B83" s="3"/>
      <c r="C83" s="3"/>
      <c r="D83" s="3"/>
    </row>
    <row r="84" spans="2:4" x14ac:dyDescent="0.25">
      <c r="B84" s="18" t="s">
        <v>53</v>
      </c>
      <c r="C84" s="3"/>
      <c r="D84" s="3"/>
    </row>
    <row r="85" spans="2:4" x14ac:dyDescent="0.25">
      <c r="B85" s="15" t="s">
        <v>54</v>
      </c>
      <c r="C85" s="3"/>
      <c r="D85" s="57">
        <f>E50-D50</f>
        <v>-285</v>
      </c>
    </row>
    <row r="86" spans="2:4" ht="17.25" x14ac:dyDescent="0.4">
      <c r="B86" s="17" t="s">
        <v>55</v>
      </c>
      <c r="C86" s="3"/>
    </row>
    <row r="87" spans="2:4" x14ac:dyDescent="0.25">
      <c r="B87" s="18" t="s">
        <v>56</v>
      </c>
      <c r="C87" s="18"/>
      <c r="D87" s="18"/>
    </row>
    <row r="88" spans="2:4" x14ac:dyDescent="0.25">
      <c r="B88" s="3"/>
      <c r="C88" s="3"/>
    </row>
    <row r="89" spans="2:4" x14ac:dyDescent="0.25">
      <c r="B89" s="18" t="s">
        <v>57</v>
      </c>
      <c r="C89" s="3"/>
      <c r="D89" s="3"/>
    </row>
    <row r="90" spans="2:4" x14ac:dyDescent="0.25">
      <c r="B90" s="15" t="s">
        <v>97</v>
      </c>
      <c r="C90" s="3"/>
    </row>
    <row r="91" spans="2:4" x14ac:dyDescent="0.25">
      <c r="B91" s="15" t="s">
        <v>58</v>
      </c>
      <c r="C91" s="3"/>
      <c r="D91" s="166">
        <f>D61-E61</f>
        <v>200</v>
      </c>
    </row>
    <row r="92" spans="2:4" x14ac:dyDescent="0.25">
      <c r="B92" s="15" t="s">
        <v>59</v>
      </c>
      <c r="C92" s="3"/>
    </row>
    <row r="93" spans="2:4" x14ac:dyDescent="0.25">
      <c r="B93" s="15" t="s">
        <v>60</v>
      </c>
      <c r="C93" s="3"/>
      <c r="D93" s="18"/>
    </row>
    <row r="94" spans="2:4" ht="17.25" x14ac:dyDescent="0.4">
      <c r="B94" s="17" t="s">
        <v>61</v>
      </c>
      <c r="C94" s="3"/>
      <c r="D94" s="57">
        <f>-D13*D4/1000</f>
        <v>-122.49999999999999</v>
      </c>
    </row>
    <row r="95" spans="2:4" x14ac:dyDescent="0.25">
      <c r="B95" s="18" t="s">
        <v>62</v>
      </c>
      <c r="C95" s="3"/>
      <c r="D95" s="18"/>
    </row>
    <row r="96" spans="2:4" x14ac:dyDescent="0.25">
      <c r="B96" s="3"/>
      <c r="C96" s="3"/>
      <c r="D96" s="3"/>
    </row>
    <row r="97" spans="2:4" x14ac:dyDescent="0.25">
      <c r="B97" s="21" t="s">
        <v>63</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topLeftCell="A21" zoomScaleNormal="100" workbookViewId="0">
      <selection activeCell="N29" sqref="C29:N29"/>
    </sheetView>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96" t="s">
        <v>92</v>
      </c>
      <c r="C20" s="197"/>
      <c r="D20" s="197"/>
      <c r="E20" s="197"/>
      <c r="F20" s="197"/>
      <c r="G20" s="197"/>
      <c r="H20" s="197"/>
      <c r="I20" s="197"/>
      <c r="J20" s="197"/>
      <c r="K20" s="197"/>
      <c r="L20" s="197"/>
      <c r="M20" s="197"/>
      <c r="N20" s="198"/>
    </row>
    <row r="21" spans="2:20" ht="15.75" thickBot="1" x14ac:dyDescent="0.3">
      <c r="B21" s="30"/>
      <c r="C21" s="30"/>
      <c r="D21" s="30"/>
      <c r="E21" s="30"/>
      <c r="F21" s="30"/>
      <c r="G21" s="30"/>
      <c r="H21" s="30"/>
      <c r="I21" s="30"/>
      <c r="J21" s="30"/>
      <c r="K21" s="30"/>
      <c r="L21" s="30"/>
      <c r="M21" s="30"/>
      <c r="N21" s="30"/>
    </row>
    <row r="22" spans="2:20" ht="15.75" thickBot="1" x14ac:dyDescent="0.3">
      <c r="B22" s="46" t="s">
        <v>98</v>
      </c>
      <c r="C22" s="31"/>
      <c r="D22" s="30"/>
      <c r="E22" s="30"/>
      <c r="F22" s="44">
        <v>0.6</v>
      </c>
      <c r="G22" s="30"/>
      <c r="H22" s="33" t="s">
        <v>99</v>
      </c>
      <c r="I22" s="30"/>
      <c r="J22" s="30"/>
      <c r="K22" s="30"/>
      <c r="L22" s="43">
        <v>85000</v>
      </c>
      <c r="M22" s="30"/>
      <c r="N22" s="30"/>
    </row>
    <row r="23" spans="2:20" ht="15.75" thickBot="1" x14ac:dyDescent="0.3">
      <c r="B23" s="46" t="s">
        <v>100</v>
      </c>
      <c r="C23" s="31"/>
      <c r="D23" s="30"/>
      <c r="E23" s="30"/>
      <c r="F23" s="44">
        <v>0.1</v>
      </c>
      <c r="G23" s="30"/>
      <c r="H23" s="30"/>
      <c r="I23" s="30"/>
      <c r="J23" s="30"/>
      <c r="K23" s="30"/>
      <c r="L23" s="30"/>
      <c r="M23" s="30"/>
      <c r="N23" s="30"/>
      <c r="T23" t="s">
        <v>77</v>
      </c>
    </row>
    <row r="24" spans="2:20" ht="15.75" thickBot="1" x14ac:dyDescent="0.3">
      <c r="B24" s="46" t="s">
        <v>101</v>
      </c>
      <c r="C24" s="31"/>
      <c r="D24" s="30"/>
      <c r="E24" s="30"/>
      <c r="F24" s="44">
        <v>0.3</v>
      </c>
      <c r="G24" s="30"/>
      <c r="H24" s="33" t="s">
        <v>102</v>
      </c>
      <c r="I24" s="30"/>
      <c r="J24" s="30"/>
      <c r="K24" s="30"/>
      <c r="L24" s="38" t="s">
        <v>134</v>
      </c>
      <c r="M24" s="30"/>
      <c r="N24" s="30"/>
      <c r="T24" t="s">
        <v>133</v>
      </c>
    </row>
    <row r="25" spans="2:20" ht="15.75" thickBot="1" x14ac:dyDescent="0.3">
      <c r="B25" s="36"/>
      <c r="C25" s="31"/>
      <c r="D25" s="30"/>
      <c r="E25" s="30"/>
      <c r="F25" s="98"/>
      <c r="G25" s="30"/>
      <c r="H25" s="30"/>
      <c r="I25" s="30"/>
      <c r="J25" s="30"/>
      <c r="K25" s="30"/>
      <c r="L25" s="30"/>
      <c r="M25" s="30"/>
      <c r="N25" s="30"/>
      <c r="T25" t="s">
        <v>134</v>
      </c>
    </row>
    <row r="26" spans="2:20" ht="15.75" thickBot="1" x14ac:dyDescent="0.3">
      <c r="B26" s="33" t="s">
        <v>103</v>
      </c>
      <c r="C26" s="31"/>
      <c r="D26" s="30"/>
      <c r="E26" s="30"/>
      <c r="F26" s="44">
        <v>0.25</v>
      </c>
      <c r="G26" s="30"/>
      <c r="H26" s="46" t="s">
        <v>93</v>
      </c>
      <c r="I26" s="30"/>
      <c r="J26" s="30"/>
      <c r="K26" s="30"/>
      <c r="L26" s="43">
        <v>20000</v>
      </c>
      <c r="M26" s="30"/>
      <c r="N26" s="30"/>
      <c r="T26" t="s">
        <v>135</v>
      </c>
    </row>
    <row r="27" spans="2:20" x14ac:dyDescent="0.25">
      <c r="B27" s="30"/>
      <c r="C27" s="31"/>
      <c r="D27" s="30"/>
      <c r="E27" s="30"/>
      <c r="F27" s="30"/>
      <c r="G27" s="30"/>
      <c r="H27" s="30"/>
      <c r="I27" s="30"/>
      <c r="J27" s="30"/>
      <c r="K27" s="30"/>
      <c r="L27" s="30"/>
      <c r="M27" s="30"/>
      <c r="N27" s="30"/>
    </row>
    <row r="28" spans="2:20" ht="17.25" x14ac:dyDescent="0.4">
      <c r="B28" s="36"/>
      <c r="C28" s="42" t="s">
        <v>73</v>
      </c>
      <c r="D28" s="42" t="s">
        <v>74</v>
      </c>
      <c r="E28" s="42" t="s">
        <v>75</v>
      </c>
      <c r="F28" s="42" t="s">
        <v>76</v>
      </c>
      <c r="G28" s="42" t="s">
        <v>77</v>
      </c>
      <c r="H28" s="42" t="s">
        <v>78</v>
      </c>
      <c r="I28" s="42" t="s">
        <v>79</v>
      </c>
      <c r="J28" s="42" t="s">
        <v>80</v>
      </c>
      <c r="K28" s="42" t="s">
        <v>81</v>
      </c>
      <c r="L28" s="42" t="s">
        <v>82</v>
      </c>
      <c r="M28" s="42" t="s">
        <v>83</v>
      </c>
      <c r="N28" s="42" t="s">
        <v>84</v>
      </c>
    </row>
    <row r="29" spans="2:20" x14ac:dyDescent="0.25">
      <c r="B29" s="33" t="s">
        <v>104</v>
      </c>
      <c r="C29" s="59">
        <v>15650</v>
      </c>
      <c r="D29" s="59">
        <v>14450</v>
      </c>
      <c r="E29" s="59">
        <v>16875</v>
      </c>
      <c r="F29" s="58">
        <v>21650</v>
      </c>
      <c r="G29" s="58">
        <v>19800</v>
      </c>
      <c r="H29" s="58">
        <v>21240</v>
      </c>
      <c r="I29" s="58">
        <v>23850</v>
      </c>
      <c r="J29" s="58">
        <v>24600</v>
      </c>
      <c r="K29" s="58">
        <v>27500</v>
      </c>
      <c r="L29" s="58">
        <v>26650</v>
      </c>
      <c r="M29" s="58">
        <v>25900</v>
      </c>
      <c r="N29" s="58">
        <v>24875</v>
      </c>
    </row>
    <row r="30" spans="2:20" x14ac:dyDescent="0.25">
      <c r="B30" s="30"/>
      <c r="C30" s="31"/>
      <c r="D30" s="31"/>
      <c r="E30" s="31"/>
      <c r="F30" s="31"/>
      <c r="G30" s="31"/>
      <c r="H30" s="31"/>
      <c r="I30" s="31"/>
      <c r="J30" s="31"/>
      <c r="K30" s="31"/>
      <c r="L30" s="31"/>
      <c r="M30" s="31"/>
      <c r="N30" s="31"/>
    </row>
    <row r="31" spans="2:20" x14ac:dyDescent="0.25">
      <c r="B31" s="36" t="s">
        <v>105</v>
      </c>
      <c r="C31" s="31"/>
      <c r="D31" s="31"/>
      <c r="E31" s="31"/>
      <c r="F31" s="48">
        <f t="shared" ref="F31:N31" si="0">F29*Collect0+E29*Collect1+D29*Collect2</f>
        <v>19012.5</v>
      </c>
      <c r="G31" s="48">
        <f t="shared" si="0"/>
        <v>19107.5</v>
      </c>
      <c r="H31" s="48">
        <f t="shared" si="0"/>
        <v>21219</v>
      </c>
      <c r="I31" s="48">
        <f t="shared" si="0"/>
        <v>22374</v>
      </c>
      <c r="J31" s="48">
        <f t="shared" si="0"/>
        <v>23517</v>
      </c>
      <c r="K31" s="48">
        <f t="shared" si="0"/>
        <v>26115</v>
      </c>
      <c r="L31" s="48">
        <f t="shared" si="0"/>
        <v>26120</v>
      </c>
      <c r="M31" s="48">
        <f t="shared" si="0"/>
        <v>26455</v>
      </c>
      <c r="N31" s="48">
        <f t="shared" si="0"/>
        <v>25510</v>
      </c>
    </row>
    <row r="32" spans="2:20" x14ac:dyDescent="0.25">
      <c r="B32" s="36"/>
      <c r="C32" s="31"/>
      <c r="D32" s="31"/>
      <c r="E32" s="31"/>
      <c r="F32" s="31"/>
      <c r="G32" s="31"/>
      <c r="H32" s="31"/>
      <c r="I32" s="31"/>
      <c r="J32" s="31"/>
      <c r="K32" s="31"/>
      <c r="L32" s="31"/>
      <c r="M32" s="31"/>
      <c r="N32" s="31"/>
    </row>
    <row r="33" spans="2:15" x14ac:dyDescent="0.25">
      <c r="B33" s="36" t="s">
        <v>106</v>
      </c>
      <c r="C33" s="31"/>
      <c r="D33" s="31"/>
      <c r="E33" s="31"/>
      <c r="F33" s="48">
        <f>F29*$F$26</f>
        <v>5412.5</v>
      </c>
      <c r="G33" s="48">
        <f t="shared" ref="G33:N33" si="1">G29*$F$26</f>
        <v>4950</v>
      </c>
      <c r="H33" s="48">
        <f t="shared" si="1"/>
        <v>5310</v>
      </c>
      <c r="I33" s="48">
        <f t="shared" si="1"/>
        <v>5962.5</v>
      </c>
      <c r="J33" s="48">
        <f t="shared" si="1"/>
        <v>6150</v>
      </c>
      <c r="K33" s="48">
        <f t="shared" si="1"/>
        <v>6875</v>
      </c>
      <c r="L33" s="48">
        <f t="shared" si="1"/>
        <v>6662.5</v>
      </c>
      <c r="M33" s="48">
        <f t="shared" si="1"/>
        <v>6475</v>
      </c>
      <c r="N33" s="48">
        <f t="shared" si="1"/>
        <v>6218.75</v>
      </c>
      <c r="O33" s="30"/>
    </row>
    <row r="34" spans="2:15" x14ac:dyDescent="0.25">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25">
      <c r="B35" s="36" t="s">
        <v>95</v>
      </c>
      <c r="C35" s="31"/>
      <c r="D35" s="31"/>
      <c r="E35" s="31"/>
      <c r="F35" s="45">
        <v>1250</v>
      </c>
      <c r="G35" s="45">
        <v>0</v>
      </c>
      <c r="H35" s="45">
        <v>0</v>
      </c>
      <c r="I35" s="45">
        <v>1250</v>
      </c>
      <c r="J35" s="45">
        <v>0</v>
      </c>
      <c r="K35" s="45">
        <v>0</v>
      </c>
      <c r="L35" s="45">
        <v>1250</v>
      </c>
      <c r="M35" s="45">
        <v>0</v>
      </c>
      <c r="N35" s="45">
        <v>0</v>
      </c>
      <c r="O35" s="30"/>
    </row>
    <row r="36" spans="2:15" x14ac:dyDescent="0.25">
      <c r="B36" s="36" t="s">
        <v>107</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96</v>
      </c>
      <c r="C37" s="31"/>
      <c r="D37" s="31"/>
      <c r="E37" s="31"/>
      <c r="F37" s="47">
        <v>850</v>
      </c>
      <c r="G37" s="47">
        <v>0</v>
      </c>
      <c r="H37" s="47">
        <v>0</v>
      </c>
      <c r="I37" s="47">
        <v>980</v>
      </c>
      <c r="J37" s="47">
        <v>0</v>
      </c>
      <c r="K37" s="47">
        <v>0</v>
      </c>
      <c r="L37" s="47">
        <v>1025</v>
      </c>
      <c r="M37" s="47">
        <v>0</v>
      </c>
      <c r="N37" s="47">
        <v>0</v>
      </c>
      <c r="O37" s="30"/>
    </row>
    <row r="38" spans="2:15" x14ac:dyDescent="0.25">
      <c r="B38" s="36" t="s">
        <v>108</v>
      </c>
      <c r="C38" s="31"/>
      <c r="D38" s="31"/>
      <c r="E38" s="31"/>
      <c r="F38" s="45">
        <f>SUM(F33:F37)</f>
        <v>10512.5</v>
      </c>
      <c r="G38" s="59">
        <f t="shared" ref="G38:N38" si="2">SUM(G33:G37)</f>
        <v>7950</v>
      </c>
      <c r="H38" s="59">
        <f t="shared" si="2"/>
        <v>8310</v>
      </c>
      <c r="I38" s="59">
        <f t="shared" si="2"/>
        <v>96192.5</v>
      </c>
      <c r="J38" s="59">
        <f t="shared" si="2"/>
        <v>9150</v>
      </c>
      <c r="K38" s="59">
        <f t="shared" si="2"/>
        <v>9875</v>
      </c>
      <c r="L38" s="59">
        <f t="shared" si="2"/>
        <v>11937.5</v>
      </c>
      <c r="M38" s="59">
        <f t="shared" si="2"/>
        <v>9475</v>
      </c>
      <c r="N38" s="59">
        <f t="shared" si="2"/>
        <v>9218.75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99" t="s">
        <v>94</v>
      </c>
      <c r="C40" s="199"/>
      <c r="D40" s="199"/>
      <c r="E40" s="199"/>
      <c r="F40" s="199"/>
      <c r="G40" s="199"/>
      <c r="H40" s="199"/>
      <c r="I40" s="199"/>
      <c r="J40" s="199"/>
      <c r="K40" s="199"/>
      <c r="L40" s="199"/>
      <c r="M40" s="199"/>
      <c r="N40" s="199"/>
      <c r="O40" s="30"/>
    </row>
    <row r="41" spans="2:15" ht="21.6" customHeight="1" thickBot="1" x14ac:dyDescent="0.3">
      <c r="B41" s="40"/>
      <c r="C41" s="41"/>
      <c r="D41" s="41"/>
      <c r="E41" s="41" t="s">
        <v>75</v>
      </c>
      <c r="F41" s="41" t="s">
        <v>76</v>
      </c>
      <c r="G41" s="41" t="s">
        <v>77</v>
      </c>
      <c r="H41" s="41" t="s">
        <v>78</v>
      </c>
      <c r="I41" s="41" t="s">
        <v>79</v>
      </c>
      <c r="J41" s="41" t="s">
        <v>80</v>
      </c>
      <c r="K41" s="41" t="s">
        <v>81</v>
      </c>
      <c r="L41" s="41" t="s">
        <v>82</v>
      </c>
      <c r="M41" s="41" t="s">
        <v>83</v>
      </c>
      <c r="N41" s="41" t="s">
        <v>84</v>
      </c>
      <c r="O41" s="39"/>
    </row>
    <row r="42" spans="2:15" ht="19.5" customHeight="1" x14ac:dyDescent="0.25">
      <c r="B42" s="33" t="s">
        <v>85</v>
      </c>
      <c r="C42" s="33"/>
      <c r="D42" s="33"/>
      <c r="E42" s="33"/>
      <c r="F42" s="33">
        <f>E46</f>
        <v>22500</v>
      </c>
      <c r="G42" s="60">
        <f t="shared" ref="G42:N42" si="3">F46</f>
        <v>20000</v>
      </c>
      <c r="H42" s="60">
        <f t="shared" si="3"/>
        <v>20000</v>
      </c>
      <c r="I42" s="60">
        <f t="shared" si="3"/>
        <v>20000</v>
      </c>
      <c r="J42" s="60">
        <f t="shared" si="3"/>
        <v>20000</v>
      </c>
      <c r="K42" s="60">
        <f t="shared" si="3"/>
        <v>20000</v>
      </c>
      <c r="L42" s="60">
        <f t="shared" si="3"/>
        <v>20000</v>
      </c>
      <c r="M42" s="60">
        <f t="shared" si="3"/>
        <v>20000</v>
      </c>
      <c r="N42" s="60">
        <f t="shared" si="3"/>
        <v>20000</v>
      </c>
      <c r="O42" s="30"/>
    </row>
    <row r="43" spans="2:15" ht="17.25" x14ac:dyDescent="0.4">
      <c r="B43" s="34" t="s">
        <v>86</v>
      </c>
      <c r="C43" s="35"/>
      <c r="D43" s="35"/>
      <c r="E43" s="35"/>
      <c r="F43" s="35">
        <f>F31-F38</f>
        <v>8500</v>
      </c>
      <c r="G43" s="35">
        <f t="shared" ref="G43:N43" si="4">G31-G38</f>
        <v>11157.5</v>
      </c>
      <c r="H43" s="35">
        <f t="shared" si="4"/>
        <v>12909</v>
      </c>
      <c r="I43" s="35">
        <f t="shared" si="4"/>
        <v>-73818.5</v>
      </c>
      <c r="J43" s="35">
        <f t="shared" si="4"/>
        <v>14367</v>
      </c>
      <c r="K43" s="35">
        <f t="shared" si="4"/>
        <v>16240</v>
      </c>
      <c r="L43" s="35">
        <f t="shared" si="4"/>
        <v>14182.5</v>
      </c>
      <c r="M43" s="35">
        <f t="shared" si="4"/>
        <v>16980</v>
      </c>
      <c r="N43" s="35">
        <f t="shared" si="4"/>
        <v>16291.25</v>
      </c>
      <c r="O43" s="30"/>
    </row>
    <row r="44" spans="2:15" x14ac:dyDescent="0.25">
      <c r="B44" s="36" t="s">
        <v>87</v>
      </c>
      <c r="C44" s="36"/>
      <c r="D44" s="36"/>
      <c r="E44" s="36"/>
      <c r="F44" s="36">
        <f>F42+F43</f>
        <v>31000</v>
      </c>
      <c r="G44" s="61">
        <f t="shared" ref="G44:N44" si="5">G42+G43</f>
        <v>31157.5</v>
      </c>
      <c r="H44" s="61">
        <f t="shared" si="5"/>
        <v>32909</v>
      </c>
      <c r="I44" s="61">
        <f t="shared" si="5"/>
        <v>-53818.5</v>
      </c>
      <c r="J44" s="61">
        <f t="shared" si="5"/>
        <v>34367</v>
      </c>
      <c r="K44" s="61">
        <f t="shared" si="5"/>
        <v>36240</v>
      </c>
      <c r="L44" s="61">
        <f t="shared" si="5"/>
        <v>34182.5</v>
      </c>
      <c r="M44" s="61">
        <f t="shared" si="5"/>
        <v>36980</v>
      </c>
      <c r="N44" s="61">
        <f t="shared" si="5"/>
        <v>36291.25</v>
      </c>
      <c r="O44" s="36"/>
    </row>
    <row r="45" spans="2:15" ht="17.25" x14ac:dyDescent="0.4">
      <c r="B45" s="34" t="s">
        <v>88</v>
      </c>
      <c r="C45" s="35"/>
      <c r="D45" s="35"/>
      <c r="E45" s="35"/>
      <c r="F45" s="35">
        <f>F46-F44</f>
        <v>-11000</v>
      </c>
      <c r="G45" s="35">
        <f t="shared" ref="G45:N45" si="6">G46-G44</f>
        <v>-11157.5</v>
      </c>
      <c r="H45" s="35">
        <f t="shared" si="6"/>
        <v>-12909</v>
      </c>
      <c r="I45" s="35">
        <f t="shared" si="6"/>
        <v>73818.5</v>
      </c>
      <c r="J45" s="35">
        <f t="shared" si="6"/>
        <v>-14367</v>
      </c>
      <c r="K45" s="35">
        <f t="shared" si="6"/>
        <v>-16240</v>
      </c>
      <c r="L45" s="35">
        <f t="shared" si="6"/>
        <v>-14182.5</v>
      </c>
      <c r="M45" s="35">
        <f t="shared" si="6"/>
        <v>-16980</v>
      </c>
      <c r="N45" s="35">
        <f t="shared" si="6"/>
        <v>-16291.25</v>
      </c>
      <c r="O45" s="30"/>
    </row>
    <row r="46" spans="2:15" x14ac:dyDescent="0.25">
      <c r="B46" s="36" t="s">
        <v>89</v>
      </c>
      <c r="C46" s="36"/>
      <c r="D46" s="36"/>
      <c r="E46" s="36">
        <v>22500</v>
      </c>
      <c r="F46" s="36">
        <f>L26</f>
        <v>20000</v>
      </c>
      <c r="G46" s="36">
        <f>F46</f>
        <v>20000</v>
      </c>
      <c r="H46" s="61">
        <f t="shared" ref="H46:N46" si="7">G46</f>
        <v>20000</v>
      </c>
      <c r="I46" s="61">
        <f t="shared" si="7"/>
        <v>20000</v>
      </c>
      <c r="J46" s="61">
        <f t="shared" si="7"/>
        <v>20000</v>
      </c>
      <c r="K46" s="61">
        <f t="shared" si="7"/>
        <v>20000</v>
      </c>
      <c r="L46" s="61">
        <f t="shared" si="7"/>
        <v>20000</v>
      </c>
      <c r="M46" s="61">
        <f t="shared" si="7"/>
        <v>20000</v>
      </c>
      <c r="N46" s="61">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136</v>
      </c>
      <c r="C48" s="36"/>
      <c r="D48" s="36"/>
      <c r="E48" s="33"/>
      <c r="F48" s="33">
        <f>F45</f>
        <v>-11000</v>
      </c>
      <c r="G48" s="33">
        <f>F48+G45</f>
        <v>-22157.5</v>
      </c>
      <c r="H48" s="60">
        <f t="shared" ref="H48:N48" si="8">G48+H45</f>
        <v>-35066.5</v>
      </c>
      <c r="I48" s="60">
        <f t="shared" si="8"/>
        <v>38752</v>
      </c>
      <c r="J48" s="60">
        <f t="shared" si="8"/>
        <v>24385</v>
      </c>
      <c r="K48" s="60">
        <f t="shared" si="8"/>
        <v>8145</v>
      </c>
      <c r="L48" s="60">
        <f t="shared" si="8"/>
        <v>-6037.5</v>
      </c>
      <c r="M48" s="60">
        <f t="shared" si="8"/>
        <v>-23017.5</v>
      </c>
      <c r="N48" s="60">
        <f t="shared" si="8"/>
        <v>-39308.75</v>
      </c>
      <c r="O48" s="35"/>
    </row>
    <row r="49" spans="2:14" ht="15.75" thickBot="1" x14ac:dyDescent="0.3">
      <c r="B49" s="32"/>
      <c r="C49" s="32"/>
      <c r="D49" s="32"/>
      <c r="E49" s="33"/>
      <c r="F49" s="33"/>
      <c r="G49" s="33"/>
      <c r="H49" s="33"/>
      <c r="I49" s="33"/>
      <c r="J49" s="33"/>
      <c r="K49" s="33"/>
      <c r="L49" s="33"/>
      <c r="M49" s="33"/>
      <c r="N49" s="33"/>
    </row>
    <row r="50" spans="2:14" ht="19.5" thickBot="1" x14ac:dyDescent="0.3">
      <c r="B50" s="199" t="s">
        <v>109</v>
      </c>
      <c r="C50" s="199"/>
      <c r="D50" s="199"/>
      <c r="E50" s="199"/>
      <c r="F50" s="199"/>
      <c r="G50" s="199"/>
      <c r="H50" s="199"/>
      <c r="I50" s="199"/>
      <c r="J50" s="199"/>
      <c r="K50" s="199"/>
      <c r="L50" s="199"/>
      <c r="M50" s="199"/>
      <c r="N50" s="199"/>
    </row>
    <row r="51" spans="2:14" ht="15.75" thickBot="1" x14ac:dyDescent="0.3">
      <c r="B51" s="40"/>
      <c r="C51" s="41"/>
      <c r="D51" s="41"/>
      <c r="E51" s="41" t="s">
        <v>75</v>
      </c>
      <c r="F51" s="41" t="s">
        <v>76</v>
      </c>
      <c r="G51" s="41" t="s">
        <v>77</v>
      </c>
      <c r="H51" s="41" t="s">
        <v>78</v>
      </c>
      <c r="I51" s="41" t="s">
        <v>79</v>
      </c>
      <c r="J51" s="41" t="s">
        <v>80</v>
      </c>
      <c r="K51" s="41" t="s">
        <v>81</v>
      </c>
      <c r="L51" s="41" t="s">
        <v>82</v>
      </c>
      <c r="M51" s="41" t="s">
        <v>83</v>
      </c>
      <c r="N51" s="41" t="s">
        <v>84</v>
      </c>
    </row>
    <row r="52" spans="2:14" ht="24.95" customHeight="1" x14ac:dyDescent="0.25">
      <c r="B52" s="33" t="s">
        <v>90</v>
      </c>
      <c r="C52" s="33"/>
      <c r="D52" s="33"/>
      <c r="E52" s="33">
        <v>0</v>
      </c>
      <c r="F52" s="33">
        <f t="shared" ref="F52:N52" si="9">IF(F48&gt;0,F48,0)</f>
        <v>0</v>
      </c>
      <c r="G52" s="60">
        <f t="shared" si="9"/>
        <v>0</v>
      </c>
      <c r="H52" s="60">
        <f t="shared" si="9"/>
        <v>0</v>
      </c>
      <c r="I52" s="60">
        <f t="shared" si="9"/>
        <v>38752</v>
      </c>
      <c r="J52" s="60">
        <f t="shared" si="9"/>
        <v>24385</v>
      </c>
      <c r="K52" s="60">
        <f t="shared" si="9"/>
        <v>8145</v>
      </c>
      <c r="L52" s="60">
        <f t="shared" si="9"/>
        <v>0</v>
      </c>
      <c r="M52" s="60">
        <f t="shared" si="9"/>
        <v>0</v>
      </c>
      <c r="N52" s="60">
        <f t="shared" si="9"/>
        <v>0</v>
      </c>
    </row>
    <row r="53" spans="2:14" x14ac:dyDescent="0.25">
      <c r="B53" s="33" t="s">
        <v>91</v>
      </c>
      <c r="C53" s="33"/>
      <c r="D53" s="33"/>
      <c r="E53" s="33">
        <v>0</v>
      </c>
      <c r="F53" s="33">
        <f t="shared" ref="F53:N53" si="10">IF(F48&lt;0,-F48,0)</f>
        <v>11000</v>
      </c>
      <c r="G53" s="60">
        <f t="shared" si="10"/>
        <v>22157.5</v>
      </c>
      <c r="H53" s="60">
        <f t="shared" si="10"/>
        <v>35066.5</v>
      </c>
      <c r="I53" s="60">
        <f t="shared" si="10"/>
        <v>0</v>
      </c>
      <c r="J53" s="60">
        <f t="shared" si="10"/>
        <v>0</v>
      </c>
      <c r="K53" s="60">
        <f t="shared" si="10"/>
        <v>0</v>
      </c>
      <c r="L53" s="60">
        <f t="shared" si="10"/>
        <v>6037.5</v>
      </c>
      <c r="M53" s="60">
        <f t="shared" si="10"/>
        <v>23017.5</v>
      </c>
      <c r="N53" s="60">
        <f t="shared" si="10"/>
        <v>39308.75</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7" numFmtId="9"/>
      <inputCells r="F23" val="0.15" numFmtId="9"/>
      <inputCells r="F24" val="0.15"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7/2/2018">
      <inputCells r="F22" val="0.6" numFmtId="9"/>
      <inputCells r="F23" val="0.1" numFmtId="9"/>
      <inputCells r="F24" val="0.3" numFmtId="9"/>
    </scenario>
    <scenario name="Ba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5" numFmtId="9"/>
      <inputCells r="F23" val="0.1" numFmtId="9"/>
      <inputCells r="F24" val="0.4"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0EAD8-E140-45A3-AD8C-64C70D9426A9}">
  <sheetPr>
    <outlinePr summaryBelow="0"/>
  </sheetPr>
  <dimension ref="B1:G21"/>
  <sheetViews>
    <sheetView showGridLines="0" workbookViewId="0">
      <selection activeCell="J27" sqref="J27"/>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185" t="s">
        <v>152</v>
      </c>
      <c r="C2" s="185"/>
      <c r="D2" s="70"/>
      <c r="E2" s="70"/>
      <c r="F2" s="70"/>
      <c r="G2" s="70"/>
    </row>
    <row r="3" spans="2:7" ht="15.75" collapsed="1" x14ac:dyDescent="0.25">
      <c r="B3" s="184"/>
      <c r="C3" s="184"/>
      <c r="D3" s="71" t="s">
        <v>154</v>
      </c>
      <c r="E3" s="71" t="s">
        <v>149</v>
      </c>
      <c r="F3" s="71" t="s">
        <v>150</v>
      </c>
      <c r="G3" s="71" t="s">
        <v>151</v>
      </c>
    </row>
    <row r="4" spans="2:7" ht="213.75" hidden="1" outlineLevel="1" x14ac:dyDescent="0.25">
      <c r="B4" s="186"/>
      <c r="C4" s="186"/>
      <c r="D4" s="65"/>
      <c r="E4" s="73" t="s">
        <v>235</v>
      </c>
      <c r="F4" s="73" t="s">
        <v>236</v>
      </c>
      <c r="G4" s="73" t="s">
        <v>235</v>
      </c>
    </row>
    <row r="5" spans="2:7" x14ac:dyDescent="0.25">
      <c r="B5" s="187" t="s">
        <v>153</v>
      </c>
      <c r="C5" s="187"/>
      <c r="D5" s="69"/>
      <c r="E5" s="69"/>
      <c r="F5" s="69"/>
      <c r="G5" s="69"/>
    </row>
    <row r="6" spans="2:7" outlineLevel="1" x14ac:dyDescent="0.25">
      <c r="B6" s="186"/>
      <c r="C6" s="186" t="s">
        <v>137</v>
      </c>
      <c r="D6" s="66">
        <v>0.6</v>
      </c>
      <c r="E6" s="72">
        <v>0.7</v>
      </c>
      <c r="F6" s="72">
        <v>0.6</v>
      </c>
      <c r="G6" s="72">
        <v>0.5</v>
      </c>
    </row>
    <row r="7" spans="2:7" outlineLevel="1" x14ac:dyDescent="0.25">
      <c r="B7" s="186"/>
      <c r="C7" s="186" t="s">
        <v>138</v>
      </c>
      <c r="D7" s="66">
        <v>0.1</v>
      </c>
      <c r="E7" s="72">
        <v>0.15</v>
      </c>
      <c r="F7" s="72">
        <v>0.1</v>
      </c>
      <c r="G7" s="72">
        <v>0.1</v>
      </c>
    </row>
    <row r="8" spans="2:7" outlineLevel="1" x14ac:dyDescent="0.25">
      <c r="B8" s="186"/>
      <c r="C8" s="186" t="s">
        <v>139</v>
      </c>
      <c r="D8" s="66">
        <v>0.3</v>
      </c>
      <c r="E8" s="72">
        <v>0.15</v>
      </c>
      <c r="F8" s="72">
        <v>0.3</v>
      </c>
      <c r="G8" s="72">
        <v>0.4</v>
      </c>
    </row>
    <row r="9" spans="2:7" x14ac:dyDescent="0.25">
      <c r="B9" s="187" t="s">
        <v>155</v>
      </c>
      <c r="C9" s="187"/>
      <c r="D9" s="69"/>
      <c r="E9" s="69"/>
      <c r="F9" s="69"/>
      <c r="G9" s="69"/>
    </row>
    <row r="10" spans="2:7" outlineLevel="1" x14ac:dyDescent="0.25">
      <c r="B10" s="186"/>
      <c r="C10" s="186" t="s">
        <v>140</v>
      </c>
      <c r="D10" s="67">
        <v>8500</v>
      </c>
      <c r="E10" s="67">
        <v>9341.25</v>
      </c>
      <c r="F10" s="67">
        <v>8500</v>
      </c>
      <c r="G10" s="67">
        <v>7780</v>
      </c>
    </row>
    <row r="11" spans="2:7" outlineLevel="1" x14ac:dyDescent="0.25">
      <c r="B11" s="186"/>
      <c r="C11" s="186" t="s">
        <v>141</v>
      </c>
      <c r="D11" s="67">
        <v>11157.5</v>
      </c>
      <c r="E11" s="67">
        <v>11688.75</v>
      </c>
      <c r="F11" s="67">
        <v>11157.5</v>
      </c>
      <c r="G11" s="67">
        <v>10865</v>
      </c>
    </row>
    <row r="12" spans="2:7" outlineLevel="1" x14ac:dyDescent="0.25">
      <c r="B12" s="186"/>
      <c r="C12" s="186" t="s">
        <v>142</v>
      </c>
      <c r="D12" s="67">
        <v>12909</v>
      </c>
      <c r="E12" s="67">
        <v>12775.5</v>
      </c>
      <c r="F12" s="67">
        <v>12909</v>
      </c>
      <c r="G12" s="67">
        <v>12950</v>
      </c>
    </row>
    <row r="13" spans="2:7" outlineLevel="1" x14ac:dyDescent="0.25">
      <c r="B13" s="186"/>
      <c r="C13" s="186" t="s">
        <v>143</v>
      </c>
      <c r="D13" s="67">
        <v>-256132</v>
      </c>
      <c r="E13" s="67">
        <v>-256316</v>
      </c>
      <c r="F13" s="67">
        <v>-256132</v>
      </c>
      <c r="G13" s="67">
        <v>-255876</v>
      </c>
    </row>
    <row r="14" spans="2:7" outlineLevel="1" x14ac:dyDescent="0.25">
      <c r="B14" s="186"/>
      <c r="C14" s="186" t="s">
        <v>144</v>
      </c>
      <c r="D14" s="67">
        <v>11018</v>
      </c>
      <c r="E14" s="67">
        <v>10386</v>
      </c>
      <c r="F14" s="67">
        <v>11018</v>
      </c>
      <c r="G14" s="67">
        <v>11450</v>
      </c>
    </row>
    <row r="15" spans="2:7" outlineLevel="1" x14ac:dyDescent="0.25">
      <c r="B15" s="186"/>
      <c r="C15" s="186" t="s">
        <v>145</v>
      </c>
      <c r="D15" s="67">
        <v>9985.5</v>
      </c>
      <c r="E15" s="67">
        <v>9994.5</v>
      </c>
      <c r="F15" s="67">
        <v>9985.5</v>
      </c>
      <c r="G15" s="67">
        <v>9960.5</v>
      </c>
    </row>
    <row r="16" spans="2:7" outlineLevel="1" x14ac:dyDescent="0.25">
      <c r="B16" s="186"/>
      <c r="C16" s="186" t="s">
        <v>146</v>
      </c>
      <c r="D16" s="67">
        <v>8277</v>
      </c>
      <c r="E16" s="67">
        <v>8535.5</v>
      </c>
      <c r="F16" s="67">
        <v>8277</v>
      </c>
      <c r="G16" s="67">
        <v>8047</v>
      </c>
    </row>
    <row r="17" spans="2:7" outlineLevel="1" x14ac:dyDescent="0.25">
      <c r="B17" s="186"/>
      <c r="C17" s="186" t="s">
        <v>147</v>
      </c>
      <c r="D17" s="67">
        <v>12254</v>
      </c>
      <c r="E17" s="67">
        <v>12901.5</v>
      </c>
      <c r="F17" s="67">
        <v>12254</v>
      </c>
      <c r="G17" s="67">
        <v>11693</v>
      </c>
    </row>
    <row r="18" spans="2:7" ht="15.75" outlineLevel="1" thickBot="1" x14ac:dyDescent="0.3">
      <c r="B18" s="188"/>
      <c r="C18" s="188" t="s">
        <v>148</v>
      </c>
      <c r="D18" s="68">
        <v>13973</v>
      </c>
      <c r="E18" s="68">
        <v>14787</v>
      </c>
      <c r="F18" s="68">
        <v>13973</v>
      </c>
      <c r="G18" s="68">
        <v>13353</v>
      </c>
    </row>
    <row r="19" spans="2:7" x14ac:dyDescent="0.25">
      <c r="B19" t="s">
        <v>156</v>
      </c>
    </row>
    <row r="20" spans="2:7" x14ac:dyDescent="0.25">
      <c r="B20" t="s">
        <v>157</v>
      </c>
    </row>
    <row r="21" spans="2:7" x14ac:dyDescent="0.25">
      <c r="B21" t="s">
        <v>158</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zoomScaleNormal="100" workbookViewId="0">
      <selection activeCell="N28" sqref="N28"/>
    </sheetView>
  </sheetViews>
  <sheetFormatPr defaultRowHeight="15" x14ac:dyDescent="0.25"/>
  <cols>
    <col min="10" max="10" width="17.28515625" customWidth="1"/>
  </cols>
  <sheetData>
    <row r="5" spans="10:19" x14ac:dyDescent="0.25">
      <c r="K5" t="s">
        <v>159</v>
      </c>
      <c r="L5" t="s">
        <v>160</v>
      </c>
      <c r="M5" s="62" t="s">
        <v>161</v>
      </c>
      <c r="N5" s="62" t="s">
        <v>162</v>
      </c>
      <c r="O5" s="62" t="s">
        <v>163</v>
      </c>
      <c r="P5" s="62" t="s">
        <v>164</v>
      </c>
      <c r="Q5" s="62" t="s">
        <v>165</v>
      </c>
      <c r="R5" s="62" t="s">
        <v>166</v>
      </c>
      <c r="S5" s="62" t="s">
        <v>167</v>
      </c>
    </row>
    <row r="6" spans="10:19" x14ac:dyDescent="0.25">
      <c r="J6" t="s">
        <v>169</v>
      </c>
      <c r="K6" s="60">
        <f>-'Prob 2 - 25 Pts '!F52</f>
        <v>0</v>
      </c>
      <c r="L6" s="60">
        <f>-'Prob 2 - 25 Pts '!G52</f>
        <v>0</v>
      </c>
      <c r="M6" s="60">
        <f>-'Prob 2 - 25 Pts '!H52</f>
        <v>0</v>
      </c>
      <c r="N6" s="60">
        <f>-'Prob 2 - 25 Pts '!I52</f>
        <v>-38752</v>
      </c>
      <c r="O6" s="60">
        <f>-'Prob 2 - 25 Pts '!J52</f>
        <v>-24385</v>
      </c>
      <c r="P6" s="60">
        <f>-'Prob 2 - 25 Pts '!K52</f>
        <v>-8145</v>
      </c>
      <c r="Q6" s="60">
        <f>-'Prob 2 - 25 Pts '!L52</f>
        <v>0</v>
      </c>
      <c r="R6" s="60">
        <f>-'Prob 2 - 25 Pts '!M52</f>
        <v>0</v>
      </c>
      <c r="S6" s="60">
        <f>-'Prob 2 - 25 Pts '!N52</f>
        <v>0</v>
      </c>
    </row>
    <row r="7" spans="10:19" x14ac:dyDescent="0.25">
      <c r="J7" t="s">
        <v>168</v>
      </c>
      <c r="K7" s="60">
        <f>'Prob 2 - 25 Pts '!F53</f>
        <v>11000</v>
      </c>
      <c r="L7" s="60">
        <f>'Prob 2 - 25 Pts '!G53</f>
        <v>22157.5</v>
      </c>
      <c r="M7" s="60">
        <f>'Prob 2 - 25 Pts '!H53</f>
        <v>35066.5</v>
      </c>
      <c r="N7" s="60">
        <f>'Prob 2 - 25 Pts '!I53</f>
        <v>0</v>
      </c>
      <c r="O7" s="60">
        <f>'Prob 2 - 25 Pts '!J53</f>
        <v>0</v>
      </c>
      <c r="P7" s="60">
        <f>'Prob 2 - 25 Pts '!K53</f>
        <v>0</v>
      </c>
      <c r="Q7" s="60">
        <f>'Prob 2 - 25 Pts '!L53</f>
        <v>6037.5</v>
      </c>
      <c r="R7" s="60">
        <f>'Prob 2 - 25 Pts '!M53</f>
        <v>23017.5</v>
      </c>
      <c r="S7" s="60">
        <f>'Prob 2 - 25 Pts '!N53</f>
        <v>39308.75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showGridLines="0" topLeftCell="A4" workbookViewId="0">
      <selection activeCell="J36" sqref="J36"/>
    </sheetView>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177</v>
      </c>
      <c r="C6" s="116" t="s">
        <v>183</v>
      </c>
      <c r="D6" s="116" t="s">
        <v>178</v>
      </c>
      <c r="E6" s="117" t="s">
        <v>179</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11.75</v>
      </c>
      <c r="D10" s="107">
        <f t="shared" si="0"/>
        <v>0.14634146341463405</v>
      </c>
      <c r="E10" s="109">
        <f t="shared" si="1"/>
        <v>1.1463414634146341</v>
      </c>
    </row>
    <row r="11" spans="2:5" x14ac:dyDescent="0.25">
      <c r="B11" s="108">
        <v>2004</v>
      </c>
      <c r="C11" s="106">
        <v>9.65</v>
      </c>
      <c r="D11" s="107">
        <f t="shared" si="0"/>
        <v>-0.17872340425531907</v>
      </c>
      <c r="E11" s="109">
        <f t="shared" si="1"/>
        <v>0.82127659574468093</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12.2</v>
      </c>
      <c r="D14" s="107">
        <f t="shared" si="0"/>
        <v>0.10909090909090913</v>
      </c>
      <c r="E14" s="109">
        <f t="shared" si="1"/>
        <v>1.1090909090909091</v>
      </c>
    </row>
    <row r="15" spans="2:5" x14ac:dyDescent="0.25">
      <c r="B15" s="108">
        <v>2008</v>
      </c>
      <c r="C15" s="106">
        <v>13.25</v>
      </c>
      <c r="D15" s="107">
        <f t="shared" si="0"/>
        <v>8.6065573770491843E-2</v>
      </c>
      <c r="E15" s="109">
        <f t="shared" si="1"/>
        <v>1.0860655737704918</v>
      </c>
    </row>
    <row r="16" spans="2:5" x14ac:dyDescent="0.25">
      <c r="B16" s="108">
        <v>2009</v>
      </c>
      <c r="C16" s="106">
        <v>6.5</v>
      </c>
      <c r="D16" s="107">
        <f t="shared" si="0"/>
        <v>-0.50943396226415094</v>
      </c>
      <c r="E16" s="109">
        <f t="shared" si="1"/>
        <v>0.49056603773584906</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9.77</v>
      </c>
      <c r="D19" s="107">
        <f t="shared" si="0"/>
        <v>0.24458598726114644</v>
      </c>
      <c r="E19" s="109">
        <f t="shared" si="1"/>
        <v>1.2445859872611464</v>
      </c>
    </row>
    <row r="20" spans="2:5" s="165" customFormat="1" x14ac:dyDescent="0.25">
      <c r="B20" s="172">
        <v>2013</v>
      </c>
      <c r="C20" s="173">
        <v>10.62</v>
      </c>
      <c r="D20" s="107">
        <f t="shared" ref="D20" si="2">C20/C19-1</f>
        <v>8.7001023541453337E-2</v>
      </c>
      <c r="E20" s="109">
        <f t="shared" ref="E20" si="3">1+D20</f>
        <v>1.0870010235414533</v>
      </c>
    </row>
    <row r="21" spans="2:5" s="165" customFormat="1" x14ac:dyDescent="0.25">
      <c r="B21" s="172">
        <v>2014</v>
      </c>
      <c r="C21" s="173">
        <v>11.45</v>
      </c>
      <c r="D21" s="107">
        <f t="shared" ref="D21" si="4">C21/C20-1</f>
        <v>7.8154425612052769E-2</v>
      </c>
      <c r="E21" s="109">
        <f t="shared" ref="E21" si="5">1+D21</f>
        <v>1.0781544256120528</v>
      </c>
    </row>
    <row r="22" spans="2:5" s="165" customFormat="1" x14ac:dyDescent="0.25">
      <c r="B22" s="172">
        <v>2015</v>
      </c>
      <c r="C22" s="173">
        <v>12.25</v>
      </c>
      <c r="D22" s="107">
        <f t="shared" ref="D22" si="6">C22/C21-1</f>
        <v>6.9868995633187936E-2</v>
      </c>
      <c r="E22" s="109">
        <f t="shared" ref="E22:E24" si="7">1+D22</f>
        <v>1.0698689956331879</v>
      </c>
    </row>
    <row r="23" spans="2:5" s="165" customFormat="1" x14ac:dyDescent="0.25">
      <c r="B23" s="172">
        <v>2016</v>
      </c>
      <c r="C23" s="173">
        <v>13.1</v>
      </c>
      <c r="D23" s="107">
        <f t="shared" ref="D23" si="8">C23/C22-1</f>
        <v>6.938775510204076E-2</v>
      </c>
      <c r="E23" s="109">
        <f t="shared" ref="E23" si="9">1+D23</f>
        <v>1.0693877551020408</v>
      </c>
    </row>
    <row r="24" spans="2:5" ht="15.75" thickBot="1" x14ac:dyDescent="0.3">
      <c r="B24" s="110">
        <v>2017</v>
      </c>
      <c r="C24" s="111">
        <v>14.25</v>
      </c>
      <c r="D24" s="107">
        <f>C24/C23-1</f>
        <v>8.7786259541984712E-2</v>
      </c>
      <c r="E24" s="109">
        <f t="shared" si="7"/>
        <v>1.0877862595419847</v>
      </c>
    </row>
    <row r="25" spans="2:5" ht="8.25" customHeight="1" x14ac:dyDescent="0.25">
      <c r="B25" s="118"/>
      <c r="C25" s="119"/>
      <c r="D25" s="119"/>
      <c r="E25" s="120"/>
    </row>
    <row r="26" spans="2:5" x14ac:dyDescent="0.25">
      <c r="B26" s="127" t="s">
        <v>180</v>
      </c>
      <c r="C26" s="121"/>
      <c r="D26" s="121"/>
      <c r="E26" s="122"/>
    </row>
    <row r="27" spans="2:5" ht="3.75" customHeight="1" thickBot="1" x14ac:dyDescent="0.3">
      <c r="B27" s="123"/>
      <c r="C27" s="200"/>
      <c r="D27" s="200"/>
      <c r="E27" s="122"/>
    </row>
    <row r="28" spans="2:5" ht="15.75" thickBot="1" x14ac:dyDescent="0.3">
      <c r="B28" s="123"/>
      <c r="C28" s="128">
        <f>GEOMEAN(E8:E24)-1</f>
        <v>2.4519358334053054E-2</v>
      </c>
      <c r="D28" s="121" t="s">
        <v>181</v>
      </c>
      <c r="E28" s="122"/>
    </row>
    <row r="29" spans="2:5" ht="6.75" customHeight="1" thickBot="1" x14ac:dyDescent="0.3">
      <c r="B29" s="123"/>
      <c r="C29" s="129"/>
      <c r="D29" s="121"/>
      <c r="E29" s="122"/>
    </row>
    <row r="30" spans="2:5" ht="15.75" thickBot="1" x14ac:dyDescent="0.3">
      <c r="B30" s="123"/>
      <c r="C30" s="128">
        <f>(PRODUCT(E8:E24)^(1/17))-1</f>
        <v>2.4519358334053054E-2</v>
      </c>
      <c r="D30" s="121" t="s">
        <v>182</v>
      </c>
      <c r="E30" s="122"/>
    </row>
    <row r="31" spans="2:5" ht="6.75" customHeight="1" thickBot="1" x14ac:dyDescent="0.3">
      <c r="B31" s="124"/>
      <c r="C31" s="125"/>
      <c r="D31" s="125"/>
      <c r="E31" s="126"/>
    </row>
  </sheetData>
  <mergeCells count="1">
    <mergeCell ref="C27:D27"/>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7"/>
  <sheetViews>
    <sheetView zoomScaleNormal="100" workbookViewId="0">
      <selection activeCell="I1" sqref="I1"/>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4" ht="48" customHeight="1" x14ac:dyDescent="0.25"/>
    <row r="10" spans="2:4" ht="15.75" thickBot="1" x14ac:dyDescent="0.3"/>
    <row r="11" spans="2:4" s="131" customFormat="1" ht="30" customHeight="1" x14ac:dyDescent="0.25">
      <c r="B11" s="201" t="s">
        <v>170</v>
      </c>
      <c r="C11" s="202"/>
      <c r="D11" s="203"/>
    </row>
    <row r="12" spans="2:4" s="131" customFormat="1" ht="30" customHeight="1" x14ac:dyDescent="0.25">
      <c r="B12" s="204" t="s">
        <v>171</v>
      </c>
      <c r="C12" s="205"/>
      <c r="D12" s="206"/>
    </row>
    <row r="13" spans="2:4" s="131" customFormat="1" ht="30" customHeight="1" thickBot="1" x14ac:dyDescent="0.3">
      <c r="B13" s="207" t="s">
        <v>231</v>
      </c>
      <c r="C13" s="208"/>
      <c r="D13" s="209"/>
    </row>
    <row r="14" spans="2:4" ht="50.1" customHeight="1" thickBot="1" x14ac:dyDescent="0.35">
      <c r="B14" s="132"/>
      <c r="C14" s="156" t="s">
        <v>232</v>
      </c>
      <c r="D14" s="157" t="s">
        <v>222</v>
      </c>
    </row>
    <row r="15" spans="2:4" ht="17.25" customHeight="1" x14ac:dyDescent="0.25">
      <c r="B15" s="133" t="s">
        <v>12</v>
      </c>
      <c r="C15" s="143">
        <v>3850000</v>
      </c>
      <c r="D15" s="134">
        <v>3432000</v>
      </c>
    </row>
    <row r="16" spans="2:4" ht="17.25" x14ac:dyDescent="0.4">
      <c r="B16" s="135" t="s">
        <v>172</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9.5" customHeight="1" x14ac:dyDescent="0.4">
      <c r="B20" s="135" t="s">
        <v>45</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6" customHeight="1" thickBot="1" x14ac:dyDescent="0.3">
      <c r="B26" s="141"/>
      <c r="C26" s="146"/>
      <c r="D26" s="142"/>
    </row>
    <row r="27" spans="2:7" ht="30" customHeight="1" thickBot="1" x14ac:dyDescent="0.3">
      <c r="B27" s="149" t="s">
        <v>184</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7"/>
  <sheetViews>
    <sheetView showGridLines="0" topLeftCell="A40" zoomScale="115" zoomScaleNormal="115" workbookViewId="0">
      <selection activeCell="P63" sqref="P63"/>
    </sheetView>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7" s="98" customFormat="1" x14ac:dyDescent="0.25">
      <c r="F1" s="91"/>
    </row>
    <row r="2" spans="2:17" s="98" customFormat="1" ht="139.5" customHeight="1" x14ac:dyDescent="0.25">
      <c r="F2" s="91"/>
    </row>
    <row r="3" spans="2:17" ht="15.75" thickBot="1" x14ac:dyDescent="0.3">
      <c r="B3" s="1"/>
      <c r="C3" s="151"/>
      <c r="D3" s="1"/>
      <c r="E3" s="1"/>
      <c r="F3" s="152"/>
      <c r="G3" s="1"/>
      <c r="H3" s="1"/>
      <c r="I3" s="1"/>
      <c r="J3" s="1"/>
      <c r="K3" s="1"/>
      <c r="L3" s="1"/>
      <c r="M3" s="1"/>
      <c r="N3" s="1"/>
      <c r="O3" s="1"/>
      <c r="P3" s="1"/>
      <c r="Q3" s="1"/>
    </row>
    <row r="4" spans="2:17" ht="103.15" customHeight="1" thickBot="1" x14ac:dyDescent="0.3">
      <c r="B4" s="153"/>
      <c r="C4" s="154" t="s">
        <v>122</v>
      </c>
      <c r="D4" s="210" t="s">
        <v>201</v>
      </c>
      <c r="E4" s="210"/>
      <c r="F4" s="210"/>
      <c r="G4" s="210"/>
      <c r="H4" s="210"/>
      <c r="I4" s="210"/>
      <c r="J4" s="210"/>
      <c r="K4" s="210"/>
      <c r="L4" s="210"/>
      <c r="M4" s="210"/>
      <c r="N4" s="210"/>
      <c r="O4" s="153"/>
      <c r="P4" s="153"/>
      <c r="Q4" s="153"/>
    </row>
    <row r="5" spans="2:17" ht="15.75" thickBot="1" x14ac:dyDescent="0.3">
      <c r="C5" s="92"/>
      <c r="D5" s="92"/>
    </row>
    <row r="6" spans="2:17" ht="15.75" thickBot="1" x14ac:dyDescent="0.3">
      <c r="C6" s="97" t="s">
        <v>205</v>
      </c>
      <c r="D6" s="94" t="s">
        <v>192</v>
      </c>
    </row>
    <row r="7" spans="2:17" ht="8.4499999999999993" customHeight="1" x14ac:dyDescent="0.25">
      <c r="C7" s="96"/>
      <c r="D7" s="94"/>
    </row>
    <row r="8" spans="2:17" s="98" customFormat="1" ht="14.25" customHeight="1" x14ac:dyDescent="0.25">
      <c r="C8" s="96"/>
      <c r="D8" s="93" t="s">
        <v>186</v>
      </c>
      <c r="F8" s="91"/>
    </row>
    <row r="9" spans="2:17" x14ac:dyDescent="0.25">
      <c r="C9" s="96"/>
      <c r="D9" s="93" t="s">
        <v>202</v>
      </c>
    </row>
    <row r="10" spans="2:17" x14ac:dyDescent="0.25">
      <c r="C10" s="96"/>
      <c r="D10" s="93" t="s">
        <v>203</v>
      </c>
    </row>
    <row r="11" spans="2:17" s="164" customFormat="1" x14ac:dyDescent="0.25">
      <c r="C11" s="96"/>
      <c r="D11" s="93" t="s">
        <v>204</v>
      </c>
      <c r="F11" s="171"/>
    </row>
    <row r="12" spans="2:17" x14ac:dyDescent="0.25">
      <c r="C12" s="96"/>
      <c r="D12" s="93" t="s">
        <v>121</v>
      </c>
    </row>
    <row r="13" spans="2:17" ht="15.75" thickBot="1" x14ac:dyDescent="0.3">
      <c r="C13" s="96"/>
      <c r="D13" s="92"/>
    </row>
    <row r="14" spans="2:17" ht="15.75" thickBot="1" x14ac:dyDescent="0.3">
      <c r="C14" s="97" t="s">
        <v>210</v>
      </c>
      <c r="D14" s="94" t="s">
        <v>206</v>
      </c>
    </row>
    <row r="15" spans="2:17" ht="9.6" customHeight="1" x14ac:dyDescent="0.25">
      <c r="C15" s="92"/>
      <c r="D15" s="94"/>
    </row>
    <row r="16" spans="2:17" x14ac:dyDescent="0.25">
      <c r="C16" s="92"/>
      <c r="D16" s="93" t="s">
        <v>207</v>
      </c>
    </row>
    <row r="17" spans="1:17" x14ac:dyDescent="0.25">
      <c r="C17" s="92"/>
      <c r="D17" s="93" t="s">
        <v>191</v>
      </c>
    </row>
    <row r="18" spans="1:17" x14ac:dyDescent="0.25">
      <c r="C18" s="92"/>
      <c r="D18" s="93" t="s">
        <v>193</v>
      </c>
    </row>
    <row r="19" spans="1:17" x14ac:dyDescent="0.25">
      <c r="C19" s="92"/>
      <c r="D19" s="93" t="s">
        <v>208</v>
      </c>
      <c r="E19" s="92"/>
    </row>
    <row r="20" spans="1:17" x14ac:dyDescent="0.25">
      <c r="C20" s="92"/>
      <c r="D20" s="93" t="s">
        <v>209</v>
      </c>
      <c r="E20" s="92"/>
    </row>
    <row r="21" spans="1:17" ht="15.75" thickBot="1" x14ac:dyDescent="0.3">
      <c r="C21" s="92"/>
      <c r="D21" s="93"/>
      <c r="E21" s="92"/>
    </row>
    <row r="22" spans="1:17" ht="15.75" thickBot="1" x14ac:dyDescent="0.3">
      <c r="C22" s="97" t="s">
        <v>194</v>
      </c>
      <c r="D22" s="174" t="s">
        <v>196</v>
      </c>
      <c r="E22" s="164"/>
      <c r="F22" s="171"/>
      <c r="G22" s="164"/>
    </row>
    <row r="23" spans="1:17" ht="9" customHeight="1" x14ac:dyDescent="0.25">
      <c r="C23" s="96"/>
      <c r="D23" s="169"/>
      <c r="E23" s="164"/>
      <c r="F23" s="171"/>
      <c r="G23" s="164"/>
    </row>
    <row r="24" spans="1:17" x14ac:dyDescent="0.25">
      <c r="C24" s="96"/>
      <c r="D24" s="168" t="s">
        <v>212</v>
      </c>
      <c r="E24" s="164"/>
      <c r="F24" s="171"/>
      <c r="G24" s="164"/>
    </row>
    <row r="25" spans="1:17" s="164" customFormat="1" x14ac:dyDescent="0.25">
      <c r="C25" s="96"/>
      <c r="D25" s="168" t="s">
        <v>211</v>
      </c>
      <c r="F25" s="171"/>
    </row>
    <row r="26" spans="1:17" x14ac:dyDescent="0.25">
      <c r="C26" s="96"/>
      <c r="D26" s="168" t="s">
        <v>187</v>
      </c>
      <c r="E26" s="164"/>
      <c r="F26" s="171"/>
      <c r="G26" s="164"/>
    </row>
    <row r="27" spans="1:17" x14ac:dyDescent="0.25">
      <c r="C27" s="96"/>
      <c r="D27" s="168" t="s">
        <v>195</v>
      </c>
      <c r="E27" s="164"/>
      <c r="F27" s="171"/>
      <c r="G27" s="164"/>
    </row>
    <row r="28" spans="1:17" x14ac:dyDescent="0.25">
      <c r="C28" s="96"/>
      <c r="D28" s="168" t="s">
        <v>123</v>
      </c>
      <c r="E28" s="164"/>
      <c r="F28" s="171"/>
      <c r="G28" s="164"/>
    </row>
    <row r="29" spans="1:17" ht="15.75" thickBot="1" x14ac:dyDescent="0.3">
      <c r="A29" s="98"/>
      <c r="B29" s="1"/>
      <c r="C29" s="151"/>
      <c r="D29" s="155"/>
      <c r="E29" s="1"/>
      <c r="F29" s="152"/>
      <c r="G29" s="1"/>
      <c r="H29" s="1"/>
      <c r="I29" s="1"/>
      <c r="J29" s="1"/>
      <c r="K29" s="1"/>
      <c r="L29" s="1"/>
      <c r="M29" s="1"/>
      <c r="N29" s="1"/>
      <c r="O29" s="1"/>
      <c r="P29" s="1"/>
      <c r="Q29" s="1"/>
    </row>
    <row r="30" spans="1:17" ht="121.15" customHeight="1" thickBot="1" x14ac:dyDescent="0.3">
      <c r="B30" s="153"/>
      <c r="C30" s="154" t="s">
        <v>124</v>
      </c>
      <c r="D30" s="211" t="s">
        <v>213</v>
      </c>
      <c r="E30" s="211"/>
      <c r="F30" s="211"/>
      <c r="G30" s="211"/>
      <c r="H30" s="211"/>
      <c r="I30" s="211"/>
      <c r="J30" s="211"/>
      <c r="K30" s="211"/>
      <c r="L30" s="211"/>
      <c r="M30" s="211"/>
      <c r="N30" s="211"/>
      <c r="O30" s="153"/>
      <c r="P30" s="153"/>
      <c r="Q30" s="153"/>
    </row>
    <row r="31" spans="1:17" ht="15.75" thickBot="1" x14ac:dyDescent="0.3">
      <c r="C31" s="92"/>
      <c r="D31" s="92"/>
      <c r="E31" s="92"/>
    </row>
    <row r="32" spans="1:17" ht="15.75" thickBot="1" x14ac:dyDescent="0.3">
      <c r="C32" s="170" t="b">
        <v>0</v>
      </c>
      <c r="D32" s="92" t="s">
        <v>214</v>
      </c>
      <c r="E32" s="92"/>
    </row>
    <row r="33" spans="3:5" ht="15.75" thickBot="1" x14ac:dyDescent="0.3">
      <c r="C33" s="92"/>
      <c r="D33" s="92"/>
      <c r="E33" s="92"/>
    </row>
    <row r="34" spans="3:5" ht="15.75" thickBot="1" x14ac:dyDescent="0.3">
      <c r="C34" s="170" t="b">
        <v>1</v>
      </c>
      <c r="D34" s="92" t="s">
        <v>197</v>
      </c>
      <c r="E34" s="92"/>
    </row>
    <row r="35" spans="3:5" x14ac:dyDescent="0.25">
      <c r="C35" s="96"/>
      <c r="D35" s="92" t="s">
        <v>215</v>
      </c>
      <c r="E35" s="92"/>
    </row>
    <row r="36" spans="3:5" ht="15.75" thickBot="1" x14ac:dyDescent="0.3">
      <c r="C36" s="92"/>
      <c r="D36" s="92"/>
      <c r="E36" s="92"/>
    </row>
    <row r="37" spans="3:5" ht="15.75" thickBot="1" x14ac:dyDescent="0.3">
      <c r="C37" s="97" t="b">
        <v>0</v>
      </c>
      <c r="D37" s="92" t="s">
        <v>198</v>
      </c>
      <c r="E37" s="92"/>
    </row>
    <row r="38" spans="3:5" ht="15.75" thickBot="1" x14ac:dyDescent="0.3">
      <c r="C38" s="96"/>
      <c r="D38" s="92"/>
      <c r="E38" s="92"/>
    </row>
    <row r="39" spans="3:5" ht="15.75" thickBot="1" x14ac:dyDescent="0.3">
      <c r="C39" s="170" t="b">
        <v>0</v>
      </c>
      <c r="D39" s="92" t="s">
        <v>216</v>
      </c>
      <c r="E39" s="92"/>
    </row>
    <row r="40" spans="3:5" x14ac:dyDescent="0.25">
      <c r="C40" s="92"/>
      <c r="D40" s="92" t="s">
        <v>174</v>
      </c>
      <c r="E40" s="92"/>
    </row>
    <row r="41" spans="3:5" ht="15.75" thickBot="1" x14ac:dyDescent="0.3">
      <c r="C41" s="96"/>
      <c r="D41" s="92"/>
      <c r="E41" s="92"/>
    </row>
    <row r="42" spans="3:5" ht="15.75" thickBot="1" x14ac:dyDescent="0.3">
      <c r="C42" s="170" t="b">
        <v>0</v>
      </c>
      <c r="D42" s="92" t="s">
        <v>217</v>
      </c>
      <c r="E42" s="92"/>
    </row>
    <row r="43" spans="3:5" x14ac:dyDescent="0.25">
      <c r="C43" s="92"/>
      <c r="D43" s="92" t="s">
        <v>125</v>
      </c>
      <c r="E43" s="92"/>
    </row>
    <row r="44" spans="3:5" ht="15.75" thickBot="1" x14ac:dyDescent="0.3">
      <c r="C44" s="96"/>
      <c r="D44" s="92"/>
      <c r="E44" s="92"/>
    </row>
    <row r="45" spans="3:5" ht="15.75" thickBot="1" x14ac:dyDescent="0.3">
      <c r="C45" s="150" t="b">
        <v>1</v>
      </c>
      <c r="D45" s="92" t="s">
        <v>218</v>
      </c>
      <c r="E45" s="92"/>
    </row>
    <row r="46" spans="3:5" ht="15.75" thickBot="1" x14ac:dyDescent="0.3">
      <c r="C46" s="96"/>
      <c r="D46" s="92"/>
      <c r="E46" s="92"/>
    </row>
    <row r="47" spans="3:5" ht="15.75" thickBot="1" x14ac:dyDescent="0.3">
      <c r="C47" s="97" t="b">
        <v>0</v>
      </c>
      <c r="D47" s="92" t="s">
        <v>219</v>
      </c>
      <c r="E47" s="92"/>
    </row>
    <row r="48" spans="3:5" ht="15.75" thickBot="1" x14ac:dyDescent="0.3">
      <c r="C48" s="92"/>
      <c r="D48" s="92"/>
      <c r="E48" s="92"/>
    </row>
    <row r="49" spans="2:6" ht="15.75" thickBot="1" x14ac:dyDescent="0.3">
      <c r="C49" s="97" t="b">
        <v>0</v>
      </c>
      <c r="D49" s="92" t="s">
        <v>175</v>
      </c>
      <c r="E49" s="92"/>
    </row>
    <row r="50" spans="2:6" ht="15.75" thickBot="1" x14ac:dyDescent="0.3">
      <c r="C50" s="92"/>
      <c r="D50" s="92"/>
      <c r="E50" s="92"/>
    </row>
    <row r="51" spans="2:6" ht="15.75" thickBot="1" x14ac:dyDescent="0.3">
      <c r="B51" s="92"/>
      <c r="C51" s="150" t="b">
        <v>1</v>
      </c>
      <c r="D51" s="95" t="s">
        <v>220</v>
      </c>
      <c r="E51" s="92"/>
    </row>
    <row r="52" spans="2:6" x14ac:dyDescent="0.25">
      <c r="B52" s="92"/>
      <c r="C52" s="92"/>
      <c r="D52" s="92" t="s">
        <v>126</v>
      </c>
      <c r="E52" s="92"/>
    </row>
    <row r="53" spans="2:6" ht="15.75" thickBot="1" x14ac:dyDescent="0.3"/>
    <row r="54" spans="2:6" s="98" customFormat="1" ht="15.75" thickBot="1" x14ac:dyDescent="0.3">
      <c r="C54" s="150" t="b">
        <v>1</v>
      </c>
      <c r="D54" s="98" t="s">
        <v>188</v>
      </c>
      <c r="E54" s="96"/>
    </row>
    <row r="55" spans="2:6" s="98" customFormat="1" x14ac:dyDescent="0.25">
      <c r="D55" s="98" t="s">
        <v>185</v>
      </c>
      <c r="E55" s="96"/>
    </row>
    <row r="56" spans="2:6" s="98" customFormat="1" ht="15.75" thickBot="1" x14ac:dyDescent="0.3">
      <c r="F56" s="91"/>
    </row>
    <row r="57" spans="2:6" s="98" customFormat="1" ht="15.75" thickBot="1" x14ac:dyDescent="0.3">
      <c r="C57" s="150" t="b">
        <v>0</v>
      </c>
      <c r="D57" s="95" t="s">
        <v>200</v>
      </c>
      <c r="E57" s="96"/>
    </row>
    <row r="58" spans="2:6" s="98" customFormat="1" x14ac:dyDescent="0.25">
      <c r="D58" s="98" t="s">
        <v>199</v>
      </c>
      <c r="E58" s="96"/>
    </row>
    <row r="59" spans="2:6" ht="15.75" thickBot="1" x14ac:dyDescent="0.3"/>
    <row r="60" spans="2:6" s="98" customFormat="1" ht="15.75" thickBot="1" x14ac:dyDescent="0.3">
      <c r="C60" s="150" t="b">
        <v>1</v>
      </c>
      <c r="D60" s="95" t="s">
        <v>189</v>
      </c>
      <c r="E60" s="96"/>
    </row>
    <row r="61" spans="2:6" s="98" customFormat="1" x14ac:dyDescent="0.25">
      <c r="D61" s="98" t="s">
        <v>190</v>
      </c>
      <c r="E61" s="96"/>
    </row>
    <row r="62" spans="2:6" s="164" customFormat="1" ht="11.25" customHeight="1" thickBot="1" x14ac:dyDescent="0.3">
      <c r="E62" s="96"/>
    </row>
    <row r="63" spans="2:6" s="164" customFormat="1" ht="15.75" thickBot="1" x14ac:dyDescent="0.3">
      <c r="C63" s="150" t="b">
        <v>0</v>
      </c>
      <c r="D63" s="95" t="s">
        <v>233</v>
      </c>
      <c r="E63" s="96"/>
    </row>
    <row r="64" spans="2:6" s="164" customFormat="1" ht="15.75" thickBot="1" x14ac:dyDescent="0.3">
      <c r="E64" s="96"/>
    </row>
    <row r="65" spans="2:17" s="164" customFormat="1" ht="15.75" thickBot="1" x14ac:dyDescent="0.3">
      <c r="C65" s="150" t="b">
        <v>0</v>
      </c>
      <c r="D65" s="95" t="s">
        <v>234</v>
      </c>
      <c r="E65" s="96"/>
    </row>
    <row r="66" spans="2:17" s="164" customFormat="1" x14ac:dyDescent="0.25">
      <c r="E66" s="96"/>
    </row>
    <row r="67" spans="2:17" ht="15.75" thickBot="1" x14ac:dyDescent="0.3">
      <c r="B67" s="1"/>
      <c r="C67" s="1"/>
      <c r="D67" s="1"/>
      <c r="E67" s="1"/>
      <c r="F67" s="15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9"/>
  <sheetViews>
    <sheetView zoomScale="130" zoomScaleNormal="130" workbookViewId="0">
      <selection activeCell="D9" sqref="D9"/>
    </sheetView>
  </sheetViews>
  <sheetFormatPr defaultRowHeight="15" x14ac:dyDescent="0.25"/>
  <cols>
    <col min="3" max="3" width="3.42578125" style="164" customWidth="1"/>
    <col min="6" max="6" width="3.42578125" style="164" customWidth="1"/>
    <col min="9" max="9" width="3.42578125" style="164" customWidth="1"/>
  </cols>
  <sheetData>
    <row r="2" spans="2:10" ht="21" x14ac:dyDescent="0.35">
      <c r="B2" s="102" t="s">
        <v>176</v>
      </c>
      <c r="C2" s="102"/>
      <c r="D2" s="98"/>
    </row>
    <row r="3" spans="2:10" ht="15.75" thickBot="1" x14ac:dyDescent="0.3">
      <c r="B3" s="98"/>
      <c r="D3" s="98"/>
    </row>
    <row r="4" spans="2:10" x14ac:dyDescent="0.25">
      <c r="B4" s="103">
        <v>1</v>
      </c>
      <c r="C4" s="176"/>
      <c r="D4" s="99" t="str">
        <f>'MC-TF - 20 Pts'!C6</f>
        <v>D</v>
      </c>
      <c r="E4" s="103">
        <v>7</v>
      </c>
      <c r="F4" s="176"/>
      <c r="G4" s="99" t="b">
        <f>'MC-TF - 20 Pts'!C39</f>
        <v>0</v>
      </c>
      <c r="H4" s="103">
        <v>13</v>
      </c>
      <c r="I4" s="176"/>
      <c r="J4" s="99" t="b">
        <f>'MC-TF - 20 Pts'!C54</f>
        <v>1</v>
      </c>
    </row>
    <row r="5" spans="2:10" x14ac:dyDescent="0.25">
      <c r="B5" s="104">
        <v>2</v>
      </c>
      <c r="C5" s="175"/>
      <c r="D5" s="100" t="str">
        <f>'MC-TF - 20 Pts'!C14</f>
        <v>E</v>
      </c>
      <c r="E5" s="104">
        <v>8</v>
      </c>
      <c r="F5" s="175"/>
      <c r="G5" s="100" t="b">
        <f>'MC-TF - 20 Pts'!C42</f>
        <v>0</v>
      </c>
      <c r="H5" s="104">
        <v>14</v>
      </c>
      <c r="I5" s="175"/>
      <c r="J5" s="100" t="b">
        <f>'MC-TF - 20 Pts'!C57</f>
        <v>0</v>
      </c>
    </row>
    <row r="6" spans="2:10" x14ac:dyDescent="0.25">
      <c r="B6" s="104">
        <v>3</v>
      </c>
      <c r="C6" s="175"/>
      <c r="D6" s="100" t="str">
        <f>'MC-TF - 20 Pts'!C22</f>
        <v>A</v>
      </c>
      <c r="E6" s="104">
        <v>9</v>
      </c>
      <c r="F6" s="175"/>
      <c r="G6" s="100" t="b">
        <f>'MC-TF - 20 Pts'!C45</f>
        <v>1</v>
      </c>
      <c r="H6" s="104">
        <v>15</v>
      </c>
      <c r="I6" s="175"/>
      <c r="J6" s="100" t="b">
        <f>'MC-TF - 20 Pts'!C60</f>
        <v>1</v>
      </c>
    </row>
    <row r="7" spans="2:10" x14ac:dyDescent="0.25">
      <c r="B7" s="104">
        <v>4</v>
      </c>
      <c r="C7" s="175"/>
      <c r="D7" s="100" t="b">
        <f>'MC-TF - 20 Pts'!C32</f>
        <v>0</v>
      </c>
      <c r="E7" s="104">
        <v>10</v>
      </c>
      <c r="F7" s="175"/>
      <c r="G7" s="100" t="b">
        <f>'MC-TF - 20 Pts'!C47</f>
        <v>0</v>
      </c>
      <c r="H7" s="104">
        <v>16</v>
      </c>
      <c r="I7" s="175"/>
      <c r="J7" s="100" t="b">
        <f>'MC-TF - 20 Pts'!C63</f>
        <v>0</v>
      </c>
    </row>
    <row r="8" spans="2:10" s="164" customFormat="1" x14ac:dyDescent="0.25">
      <c r="B8" s="179">
        <v>5</v>
      </c>
      <c r="C8" s="180"/>
      <c r="D8" s="100" t="b">
        <f>'MC-TF - 20 Pts'!C34</f>
        <v>1</v>
      </c>
      <c r="E8" s="179">
        <v>11</v>
      </c>
      <c r="F8" s="180"/>
      <c r="G8" s="100" t="b">
        <f>'MC-TF - 20 Pts'!C49</f>
        <v>0</v>
      </c>
      <c r="H8" s="179">
        <v>17</v>
      </c>
      <c r="I8" s="180"/>
      <c r="J8" s="100" t="b">
        <f>'MC-TF - 20 Pts'!C65</f>
        <v>0</v>
      </c>
    </row>
    <row r="9" spans="2:10" ht="15.75" thickBot="1" x14ac:dyDescent="0.3">
      <c r="B9" s="105">
        <v>6</v>
      </c>
      <c r="C9" s="177"/>
      <c r="D9" s="101" t="b">
        <f>'MC-TF - 20 Pts'!C37</f>
        <v>0</v>
      </c>
      <c r="E9" s="105">
        <v>12</v>
      </c>
      <c r="F9" s="177"/>
      <c r="G9" s="101" t="b">
        <f>'MC-TF - 20 Pts'!C51</f>
        <v>1</v>
      </c>
      <c r="H9" s="181"/>
      <c r="I9" s="182"/>
      <c r="J9"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4 - 5 -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2018-09-18T19:52:01Z</cp:lastPrinted>
  <dcterms:created xsi:type="dcterms:W3CDTF">2010-01-07T16:00:30Z</dcterms:created>
  <dcterms:modified xsi:type="dcterms:W3CDTF">2018-12-03T18:50:02Z</dcterms:modified>
</cp:coreProperties>
</file>