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defaultThemeVersion="124226"/>
  <mc:AlternateContent xmlns:mc="http://schemas.openxmlformats.org/markup-compatibility/2006">
    <mc:Choice Requires="x15">
      <x15ac:absPath xmlns:x15ac="http://schemas.microsoft.com/office/spreadsheetml/2010/11/ac" url="C:\Users\dhawley\Ole Miss Business Dropbox\Del Hawley\Class\Fall 2020\Exam 1\"/>
    </mc:Choice>
  </mc:AlternateContent>
  <xr:revisionPtr revIDLastSave="0" documentId="13_ncr:1_{E580A9AF-D6F9-4ADA-A718-07ADF9C6A26E}" xr6:coauthVersionLast="36" xr6:coauthVersionMax="36" xr10:uidLastSave="{00000000-0000-0000-0000-000000000000}"/>
  <bookViews>
    <workbookView xWindow="14220" yWindow="2205" windowWidth="14400" windowHeight="13335" tabRatio="887" xr2:uid="{00000000-000D-0000-FFFF-FFFF00000000}"/>
  </bookViews>
  <sheets>
    <sheet name="INSTRUCTIONS" sheetId="33" r:id="rId1"/>
    <sheet name="Prob 1 - 30 Pts" sheetId="1" r:id="rId2"/>
    <sheet name="Prob 2 - 30 Pts " sheetId="6" r:id="rId3"/>
    <sheet name="Scenario Summary" sheetId="32" r:id="rId4"/>
    <sheet name="Prob 3 - 10 Pts" sheetId="7" r:id="rId5"/>
    <sheet name="Prob 4 - 10 Pts" sheetId="21" r:id="rId6"/>
    <sheet name="MC-TF - 20 Pts" sheetId="18" r:id="rId7"/>
    <sheet name="Sheet3" sheetId="19" r:id="rId8"/>
  </sheets>
  <definedNames>
    <definedName name="Collect0">'Prob 2 - 30 Pts '!$F$22</definedName>
    <definedName name="Collect1">'Prob 2 - 30 Pts '!$F$23</definedName>
    <definedName name="Collect2">'Prob 2 - 30 Pts '!$F$24</definedName>
    <definedName name="NCF">'Prob 2 - 30 Pts '!$F$43:$N$43</definedName>
    <definedName name="_xlnm.Print_Area" localSheetId="1">'Prob 1 - 30 Pts'!$B$17:$G$67</definedName>
    <definedName name="_xlnm.Print_Area" localSheetId="2">'Prob 2 - 30 Pts '!$B$20:$N$55</definedName>
  </definedNames>
  <calcPr calcId="191029"/>
</workbook>
</file>

<file path=xl/calcChain.xml><?xml version="1.0" encoding="utf-8"?>
<calcChain xmlns="http://schemas.openxmlformats.org/spreadsheetml/2006/main">
  <c r="D81" i="1" l="1"/>
  <c r="D76" i="1"/>
  <c r="D26" i="21" l="1"/>
  <c r="D25" i="21"/>
  <c r="E25" i="21" s="1"/>
  <c r="D28" i="1"/>
  <c r="D21" i="21" l="1"/>
  <c r="E21" i="21" s="1"/>
  <c r="D22" i="21"/>
  <c r="E22" i="21" s="1"/>
  <c r="D23" i="21"/>
  <c r="E23" i="21"/>
  <c r="D24" i="21"/>
  <c r="E24" i="21" s="1"/>
  <c r="E26" i="21"/>
  <c r="D9" i="19" l="1"/>
  <c r="J8" i="19"/>
  <c r="J7" i="19"/>
  <c r="J6" i="19"/>
  <c r="J5" i="19"/>
  <c r="J4" i="19"/>
  <c r="G9" i="19"/>
  <c r="G8" i="19"/>
  <c r="G7" i="19"/>
  <c r="G6" i="19"/>
  <c r="G5" i="19"/>
  <c r="G4" i="19"/>
  <c r="D8" i="19"/>
  <c r="D90" i="1"/>
  <c r="D20" i="21" l="1"/>
  <c r="E20" i="21" s="1"/>
  <c r="D86" i="1"/>
  <c r="D7" i="19" l="1"/>
  <c r="D6" i="19"/>
  <c r="D5" i="19"/>
  <c r="D4" i="19"/>
  <c r="D19" i="21" l="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32" i="21" l="1"/>
  <c r="C30" i="2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50" i="1"/>
  <c r="D47" i="1"/>
  <c r="D78" i="1" s="1"/>
  <c r="D46" i="1"/>
  <c r="E66" i="1"/>
  <c r="E60" i="1"/>
  <c r="E62" i="1" s="1"/>
  <c r="E52" i="1"/>
  <c r="G30" i="1"/>
  <c r="G28" i="1"/>
  <c r="G27" i="1"/>
  <c r="G26" i="1"/>
  <c r="G24" i="1"/>
  <c r="G23" i="1"/>
  <c r="D30" i="1"/>
  <c r="D27" i="1"/>
  <c r="D26" i="1"/>
  <c r="E25" i="1"/>
  <c r="G25" i="1" s="1"/>
  <c r="E67" i="1" l="1"/>
  <c r="G46" i="6"/>
  <c r="H46" i="6" s="1"/>
  <c r="I46" i="6" s="1"/>
  <c r="J46" i="6" s="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E54" i="1" l="1"/>
  <c r="E49" i="1" s="1"/>
  <c r="G62" i="1"/>
  <c r="H42" i="6"/>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E32" i="1" s="1"/>
  <c r="G29" i="1"/>
  <c r="F53" i="6"/>
  <c r="K7" i="7" s="1"/>
  <c r="J44" i="6"/>
  <c r="J45" i="6" s="1"/>
  <c r="I44" i="6"/>
  <c r="I45" i="6" s="1"/>
  <c r="K46" i="6"/>
  <c r="K42" i="6"/>
  <c r="K44" i="6" s="1"/>
  <c r="E44" i="1" l="1"/>
  <c r="G44" i="1" s="1"/>
  <c r="K45" i="6"/>
  <c r="G54" i="1"/>
  <c r="G49" i="1"/>
  <c r="E33" i="1"/>
  <c r="G33" i="1" s="1"/>
  <c r="D29" i="1"/>
  <c r="F29" i="1" s="1"/>
  <c r="G31" i="1"/>
  <c r="G53" i="6"/>
  <c r="L7" i="7" s="1"/>
  <c r="H48" i="6"/>
  <c r="I48" i="6" s="1"/>
  <c r="L46" i="6"/>
  <c r="L42" i="6"/>
  <c r="L44" i="6" s="1"/>
  <c r="G32" i="1" l="1"/>
  <c r="D31" i="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33" i="1"/>
  <c r="D35" i="1"/>
  <c r="N45" i="6"/>
  <c r="L48" i="6"/>
  <c r="K52" i="6"/>
  <c r="P6" i="7" s="1"/>
  <c r="K53" i="6"/>
  <c r="P7" i="7" s="1"/>
  <c r="F66" i="1" l="1"/>
  <c r="D54" i="1"/>
  <c r="F67" i="1"/>
  <c r="F48" i="1"/>
  <c r="F52" i="1"/>
  <c r="F61" i="1"/>
  <c r="F57"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<sst xmlns="http://schemas.openxmlformats.org/spreadsheetml/2006/main" count="292" uniqueCount="242">
  <si>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</si>
  <si>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</si>
  <si>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</si>
  <si>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</si>
  <si>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</si>
  <si>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</si>
  <si>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</si>
  <si>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</si>
  <si>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</si>
  <si>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</si>
  <si>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</si>
  <si>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</si>
  <si>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</si>
  <si>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</si>
  <si>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</si>
  <si>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</si>
  <si>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</si>
  <si>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</si>
  <si>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</si>
  <si>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</si>
  <si>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</si>
  <si>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</si>
  <si>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</si>
  <si>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</si>
  <si>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</si>
  <si>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</si>
  <si>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</si>
  <si>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</si>
  <si>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</si>
  <si>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</si>
  <si>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</si>
  <si>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</si>
  <si>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</si>
  <si>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</si>
  <si>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</si>
  <si>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</si>
  <si>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</si>
  <si>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</si>
  <si>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</si>
  <si>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</si>
  <si>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</si>
  <si>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</si>
  <si>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</si>
  <si>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</si>
  <si>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</si>
  <si>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</si>
  <si>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</si>
  <si>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</si>
  <si>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</si>
  <si>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</si>
  <si>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</si>
  <si>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</si>
  <si>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</si>
  <si>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</si>
  <si>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</si>
  <si>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</si>
  <si>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</si>
  <si>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</si>
  <si>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</si>
  <si>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</si>
  <si>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</si>
  <si>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</si>
  <si>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</si>
  <si>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</si>
  <si>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</si>
  <si>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</si>
  <si>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</si>
  <si>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</si>
  <si>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</si>
  <si>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</si>
  <si>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</si>
  <si>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</si>
  <si>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</si>
  <si>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</si>
  <si>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</si>
  <si>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</si>
  <si>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</si>
  <si>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</si>
  <si>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</si>
  <si>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</si>
  <si>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</si>
  <si>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</si>
  <si>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</si>
  <si>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</si>
  <si>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</si>
  <si>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</si>
  <si>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</si>
  <si>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</si>
  <si>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</si>
  <si>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</si>
  <si>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</si>
  <si>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</si>
  <si>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</si>
  <si>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</si>
  <si>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</si>
  <si>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</si>
  <si>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</si>
  <si>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</si>
  <si>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</si>
  <si>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</si>
  <si>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</si>
  <si>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</si>
  <si>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</si>
  <si>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</si>
  <si>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</si>
  <si>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</si>
  <si>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</si>
  <si>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</si>
  <si>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</si>
  <si>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</si>
  <si>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</si>
  <si>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</si>
  <si>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</si>
  <si>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</si>
  <si>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</si>
  <si>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</si>
  <si>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</si>
  <si>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</si>
  <si>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</si>
  <si>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</si>
  <si>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</si>
  <si>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</si>
  <si>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</si>
  <si>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</si>
  <si>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representations of the true current values of the firm's assets.</t>
  </si>
  <si>
    <t>TEST EXCEPT THE COMPUTER YOU ARE USING AND THIS FILE.</t>
  </si>
  <si>
    <t>The last tabbed page, named MC-TF, contains objective questions that</t>
  </si>
  <si>
    <t>on that page.</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</si>
  <si>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</si>
  <si>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</si>
  <si>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</si>
  <si>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</si>
  <si>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</si>
  <si>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</si>
  <si>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</si>
  <si>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</si>
  <si>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</si>
  <si>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</si>
  <si>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</si>
  <si>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</si>
  <si>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</si>
  <si>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</si>
  <si>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</si>
  <si>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</si>
  <si>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</si>
  <si>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</si>
  <si>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</si>
  <si>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</si>
  <si>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</si>
  <si>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</si>
  <si>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</si>
  <si>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</si>
  <si>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</si>
  <si>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</si>
  <si>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</si>
  <si>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</si>
  <si>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</si>
  <si>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</si>
  <si>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</si>
  <si>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</si>
  <si>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</si>
  <si>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</si>
  <si>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</si>
  <si>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</si>
  <si>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</si>
  <si>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count 20 points toward the total of 100 points for this exam. Follow the instructions</t>
  </si>
  <si>
    <t xml:space="preserve"> 11. Net Income is the same as cash flow to shareholders.</t>
  </si>
  <si>
    <t>Do not change anything on this page.</t>
  </si>
  <si>
    <t>Year</t>
  </si>
  <si>
    <t>Annual
Rate of
Return</t>
  </si>
  <si>
    <t>Price
Relative
Return</t>
  </si>
  <si>
    <t>Geometric Mean:</t>
  </si>
  <si>
    <t>using GEOMEAN function</t>
  </si>
  <si>
    <t>Stock
Price</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</si>
  <si>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</si>
  <si>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</si>
  <si>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</si>
  <si>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</si>
  <si>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</si>
  <si>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</si>
  <si>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</si>
  <si>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</si>
  <si>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on the balance sheet.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</si>
  <si>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</si>
  <si>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</si>
  <si>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</si>
  <si>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</si>
  <si>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t>D</t>
  </si>
  <si>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</si>
  <si>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</si>
  <si>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</si>
  <si>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</si>
  <si>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</si>
  <si>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</si>
  <si>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less cash dividends paid to shareholders during the period</t>
  </si>
  <si>
    <t xml:space="preserve">  9. Depreciation for a period is included in the calculations on the statement of cash flows even though it is not a cash flow.</t>
  </si>
  <si>
    <t xml:space="preserve"> 17. In the statement of cash flows, the entry for depreciation is always a cash outflow and so should have a negative sign.</t>
  </si>
  <si>
    <t>2018</t>
  </si>
  <si>
    <t>Created by Del on 9/22/2011
Modified by D Hawley on 9/22/2013
Modified by Del on 6/9/2014
Modified by Del Hawley on 2/16/2015
Modified by Del Hawley on 6/12/2016
Modified by Del Hawley on 2/19/2018
Modified by Hawley, Del on 7/2/2018
Modified by Hawle</t>
  </si>
  <si>
    <t>Created by Del on 9/22/2011
Modified by Del on 6/9/2012
Modified by D Hawley on 9/22/2013
Modified by Del on 6/9/2014
Modified by Del Hawley on 2/16/2015
Modified by Del Hawley on 6/12/2016
Modified by Hawley, Del on 7/2/2018
Modified by Del Hawley on</t>
  </si>
  <si>
    <r>
      <t>a.</t>
    </r>
    <r>
      <rPr>
        <sz val="7"/>
        <color theme="1"/>
        <rFont val="Times New Roman"/>
        <family val="1"/>
      </rPr>
      <t xml:space="preserve">       </t>
    </r>
    <r>
      <rPr>
        <sz val="11"/>
        <color theme="1"/>
        <rFont val="Calibri"/>
        <family val="2"/>
        <scheme val="minor"/>
      </rPr>
      <t>Debt to assets ratio</t>
    </r>
  </si>
  <si>
    <t xml:space="preserve">  8. Net Income on the income statement should always be an accurate representation of the increase in the actual total value</t>
  </si>
  <si>
    <t xml:space="preserve">       of the company during a given period.</t>
  </si>
  <si>
    <t xml:space="preserve">  7. A financial statement with each item expressed as a percentage of Sales is called</t>
  </si>
  <si>
    <t xml:space="preserve">  4. Lotus 1-2-3 was the first spreadsheet program ever to be marketed for personal computers.</t>
  </si>
  <si>
    <t>Inputs for 2019</t>
  </si>
  <si>
    <t>2018-2019</t>
  </si>
  <si>
    <t>2019</t>
  </si>
  <si>
    <t>Complete the 2018 and 2019 Income Statements and Balance Sheets using</t>
  </si>
  <si>
    <t xml:space="preserve">appropriately use the 2019 inputs. All computations should reflect any changes </t>
  </si>
  <si>
    <t>Create the common size income statements and balance sheets for 2018 and 2019</t>
  </si>
  <si>
    <r>
      <t xml:space="preserve">Note: 2019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</si>
  <si>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2018.</t>
  </si>
  <si>
    <t>Check using direct calculation</t>
  </si>
  <si>
    <r>
      <t>d.</t>
    </r>
    <r>
      <rPr>
        <sz val="7"/>
        <color theme="1"/>
        <rFont val="Times New Roman"/>
        <family val="1"/>
      </rPr>
      <t xml:space="preserve">      </t>
    </r>
    <r>
      <rPr>
        <sz val="11"/>
        <color theme="1"/>
        <rFont val="Calibri"/>
        <family val="2"/>
        <scheme val="minor"/>
      </rPr>
      <t>Cost of Goods Sold as a percentage of sales</t>
    </r>
  </si>
  <si>
    <t>E</t>
  </si>
  <si>
    <r>
      <t>c.</t>
    </r>
    <r>
      <rPr>
        <sz val="7"/>
        <color theme="1"/>
        <rFont val="Times New Roman"/>
        <family val="1"/>
      </rPr>
      <t xml:space="preserve">       </t>
    </r>
    <r>
      <rPr>
        <sz val="11"/>
        <color theme="1"/>
        <rFont val="Calibri"/>
        <family val="2"/>
        <scheme val="minor"/>
      </rPr>
      <t>A decrease in Accounts Receivable on the balance sheet.</t>
    </r>
  </si>
  <si>
    <r>
      <t>1.</t>
    </r>
    <r>
      <rPr>
        <sz val="7"/>
        <color theme="1"/>
        <rFont val="Times New Roman"/>
        <family val="1"/>
      </rPr>
      <t xml:space="preserve">       </t>
    </r>
    <r>
      <rPr>
        <sz val="11"/>
        <color theme="1"/>
        <rFont val="Calibri"/>
        <family val="2"/>
        <scheme val="minor"/>
      </rPr>
      <t>The income statement:</t>
    </r>
  </si>
  <si>
    <t xml:space="preserve">  5. The retained earnings entry on a balance sheet is the after-tax profit (net income)   </t>
  </si>
  <si>
    <t xml:space="preserve">  6. Retained earnings on the balance sheet represents funds currently available for new investments.</t>
  </si>
  <si>
    <t xml:space="preserve">      a common-sized income statement.</t>
  </si>
  <si>
    <t xml:space="preserve"> 10. In the Statement of Cash Flows, an increase in the Accounts Payable account would be listed as a SOURCE of cash.</t>
  </si>
  <si>
    <t xml:space="preserve"> 12. The book values of assets as shown on the balance sheet are meant to be accurate </t>
  </si>
  <si>
    <t xml:space="preserve"> 14. The book value of a company's common stock equals Total Assets minus Total Liabilities</t>
  </si>
  <si>
    <t xml:space="preserve"> 16. Gross profit margin equals operating profit (EBIT) divided by sales or revenue for a period.</t>
  </si>
  <si>
    <t>Put your student number here:</t>
  </si>
  <si>
    <t>Put your name here:</t>
  </si>
  <si>
    <r>
      <t>COMPUTER YOU ARE USING</t>
    </r>
    <r>
      <rPr>
        <b/>
        <u/>
        <sz val="14"/>
        <color rgb="FFFF0000"/>
        <rFont val="Calibri"/>
        <family val="2"/>
        <scheme val="minor"/>
      </rPr>
      <t xml:space="preserve"> </t>
    </r>
    <r>
      <rPr>
        <b/>
        <i/>
        <sz val="14"/>
        <color rgb="FF002060"/>
        <rFont val="Calibri"/>
        <family val="2"/>
        <scheme val="minor"/>
      </rPr>
      <t>BEFORE YOU BEGIN WORKING ON IT.</t>
    </r>
  </si>
  <si>
    <t>LEAVE BLACKBOARD OPEN WHILE YOU WORK ON THE EXAM FILE.</t>
  </si>
  <si>
    <t>There are 6 tabbed pages in this exam spreadsheet including this one.</t>
  </si>
  <si>
    <t>-</t>
  </si>
  <si>
    <r>
      <t xml:space="preserve">Save your work and </t>
    </r>
    <r>
      <rPr>
        <b/>
        <u/>
        <sz val="22"/>
        <color rgb="FFFF0000"/>
        <rFont val="Calibri"/>
        <family val="2"/>
        <scheme val="minor"/>
      </rPr>
      <t>close Excel</t>
    </r>
    <r>
      <rPr>
        <b/>
        <sz val="14"/>
        <color rgb="FFFF0000"/>
        <rFont val="Calibri"/>
        <family val="2"/>
        <scheme val="minor"/>
      </rPr>
      <t>.</t>
    </r>
  </si>
  <si>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</si>
  <si>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</si>
  <si>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</si>
  <si>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</si>
  <si>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</si>
  <si>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Submit and close the Blackboard exam.</t>
  </si>
  <si>
    <t>Method 2</t>
  </si>
  <si>
    <t>Open the  item named DROPBOX FOR EXAM 1 in the main</t>
  </si>
  <si>
    <t xml:space="preserve">   CONTENT folder in Blackboard.</t>
  </si>
  <si>
    <t>Follow the instructions for uploading your completed exam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</si>
</sst>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0%"/>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sz val="16"/>
      <color rgb="FFFF0000"/>
      <name val="Calibri"/>
      <family val="2"/>
      <scheme val="minor"/>
    </font>
    <font>
      <b/>
      <sz val="11"/>
      <color theme="0" tint="-4.9989318521683403E-2"/>
      <name val="Calibri"/>
      <family val="2"/>
      <scheme val="minor"/>
    </font>
    <font>
      <b/>
      <sz val="20"/>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b/>
      <u/>
      <sz val="14"/>
      <color rgb="FFFF0000"/>
      <name val="Calibri"/>
      <family val="2"/>
      <scheme val="minor"/>
    </font>
    <font>
      <b/>
      <i/>
      <sz val="14"/>
      <color rgb="FF002060"/>
      <name val="Calibri"/>
      <family val="2"/>
      <scheme val="minor"/>
    </font>
    <font>
      <sz val="12"/>
      <color theme="1"/>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156">
    <xf numFmtId="0" fontId="0" fillId="0" borderId="0" xfId="0"/>
    <xf numFmtId="0" fontId="0" fillId="0" borderId="1" xfId="0" applyBorder="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xf numFmtId="166" fontId="8" fillId="0" borderId="0" xfId="2" applyNumberFormat="1" applyFont="1"/>
    <xf numFmtId="166" fontId="1" fillId="0" borderId="4" xfId="2" applyNumberFormat="1" applyBorder="1"/>
    <xf numFmtId="41" fontId="7" fillId="0" borderId="0" xfId="0" applyNumberFormat="1" applyFont="1"/>
    <xf numFmtId="0" fontId="11" fillId="0" borderId="0" xfId="0" applyFont="1"/>
    <xf numFmtId="43" fontId="0" fillId="2" borderId="4" xfId="0" applyNumberFormat="1" applyFill="1" applyBorder="1"/>
    <xf numFmtId="43" fontId="0" fillId="2" borderId="0" xfId="0" applyNumberFormat="1" applyFill="1"/>
    <xf numFmtId="43" fontId="8" fillId="2" borderId="0" xfId="0" applyNumberFormat="1" applyFont="1" applyFill="1"/>
    <xf numFmtId="0" fontId="13" fillId="5" borderId="6" xfId="0" applyFont="1" applyFill="1" applyBorder="1" applyAlignment="1">
      <alignment horizontal="right"/>
    </xf>
    <xf numFmtId="0" fontId="13" fillId="5" borderId="14" xfId="0" applyFont="1" applyFill="1" applyBorder="1" applyAlignment="1">
      <alignment horizontal="right"/>
    </xf>
    <xf numFmtId="43" fontId="0" fillId="3" borderId="5" xfId="0" applyNumberFormat="1" applyFill="1" applyBorder="1"/>
    <xf numFmtId="0" fontId="0" fillId="3" borderId="6" xfId="0"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Fill="1"/>
    <xf numFmtId="43" fontId="0" fillId="3" borderId="0" xfId="0" applyNumberFormat="1" applyFill="1"/>
    <xf numFmtId="43" fontId="0" fillId="3" borderId="9" xfId="0" applyNumberFormat="1" applyFill="1" applyBorder="1"/>
    <xf numFmtId="0" fontId="0" fillId="3" borderId="0" xfId="0" applyFill="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Fill="1" applyBorder="1"/>
    <xf numFmtId="0" fontId="0" fillId="0" borderId="0" xfId="0" applyAlignment="1">
      <alignment horizontal="left"/>
    </xf>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17" fillId="0" borderId="0" xfId="0" applyFont="1"/>
    <xf numFmtId="0" fontId="3" fillId="8" borderId="16" xfId="0" applyFont="1" applyFill="1" applyBorder="1" applyAlignment="1">
      <alignment horizontal="center" vertical="center"/>
    </xf>
    <xf numFmtId="0" fontId="3" fillId="8" borderId="18" xfId="0" applyFont="1" applyFill="1" applyBorder="1" applyAlignment="1">
      <alignment horizontal="center" vertical="center"/>
    </xf>
    <xf numFmtId="0" fontId="3" fillId="8" borderId="20"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18" xfId="0" applyBorder="1" applyAlignment="1">
      <alignment horizontal="center"/>
    </xf>
    <xf numFmtId="168" fontId="0" fillId="0" borderId="19" xfId="1" applyNumberFormat="1" applyFont="1" applyBorder="1"/>
    <xf numFmtId="0" fontId="0" fillId="0" borderId="20" xfId="0" applyBorder="1" applyAlignment="1">
      <alignment horizontal="center"/>
    </xf>
    <xf numFmtId="44" fontId="0" fillId="0" borderId="23" xfId="0" applyNumberFormat="1" applyBorder="1"/>
    <xf numFmtId="0" fontId="0" fillId="0" borderId="22" xfId="0" applyBorder="1" applyAlignment="1">
      <alignment horizontal="center"/>
    </xf>
    <xf numFmtId="44" fontId="0" fillId="0" borderId="24" xfId="0" applyNumberFormat="1" applyBorder="1"/>
    <xf numFmtId="44" fontId="0" fillId="9" borderId="24" xfId="0" applyNumberFormat="1" applyFill="1" applyBorder="1"/>
    <xf numFmtId="44" fontId="18" fillId="10" borderId="25" xfId="0" applyNumberFormat="1" applyFont="1" applyFill="1" applyBorder="1" applyAlignment="1">
      <alignment horizontal="center" vertical="center"/>
    </xf>
    <xf numFmtId="44" fontId="18" fillId="10" borderId="26" xfId="0" applyNumberFormat="1" applyFont="1" applyFill="1" applyBorder="1" applyAlignment="1">
      <alignment horizontal="center" vertical="center" wrapText="1"/>
    </xf>
    <xf numFmtId="44" fontId="18" fillId="10" borderId="27"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69" fontId="0" fillId="2" borderId="3" xfId="3" applyNumberFormat="1" applyFont="1" applyFill="1" applyBorder="1" applyAlignment="1">
      <alignment horizontal="center"/>
    </xf>
    <xf numFmtId="44" fontId="0" fillId="0" borderId="0" xfId="0" applyNumberFormat="1" applyAlignment="1">
      <alignment horizont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165" fontId="6" fillId="0" borderId="0" xfId="1" applyNumberFormat="1" applyFont="1"/>
    <xf numFmtId="166" fontId="6" fillId="0" borderId="0" xfId="2" applyNumberFormat="1" applyFont="1"/>
    <xf numFmtId="44" fontId="6" fillId="0" borderId="0" xfId="2" applyFont="1"/>
    <xf numFmtId="166" fontId="6" fillId="0" borderId="1" xfId="2" applyNumberFormat="1" applyFont="1" applyBorder="1"/>
    <xf numFmtId="164" fontId="6" fillId="0" borderId="0" xfId="3" applyNumberFormat="1" applyFont="1"/>
    <xf numFmtId="0" fontId="0" fillId="0" borderId="28" xfId="0" applyBorder="1" applyAlignment="1">
      <alignment horizontal="center"/>
    </xf>
    <xf numFmtId="44" fontId="0" fillId="0" borderId="29" xfId="0" applyNumberFormat="1" applyBorder="1"/>
    <xf numFmtId="0" fontId="3" fillId="3" borderId="4"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8"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3" xfId="0" applyFont="1" applyFill="1" applyBorder="1" applyAlignment="1">
      <alignment horizontal="center" vertical="center"/>
    </xf>
    <xf numFmtId="0" fontId="3" fillId="9" borderId="21" xfId="0" applyFont="1" applyFill="1" applyBorder="1" applyAlignment="1">
      <alignment horizontal="center" vertical="center"/>
    </xf>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9" fontId="0" fillId="7" borderId="0" xfId="0" applyNumberFormat="1" applyFill="1" applyBorder="1" applyAlignment="1"/>
    <xf numFmtId="0" fontId="14" fillId="0" borderId="0" xfId="0" applyFont="1" applyFill="1" applyBorder="1" applyAlignment="1">
      <alignment vertical="top" wrapText="1"/>
    </xf>
    <xf numFmtId="43" fontId="7" fillId="0" borderId="0" xfId="0" quotePrefix="1" applyNumberFormat="1" applyFont="1" applyAlignment="1">
      <alignment horizontal="center"/>
    </xf>
    <xf numFmtId="0" fontId="20" fillId="5" borderId="14" xfId="0" applyFont="1" applyFill="1" applyBorder="1" applyAlignment="1">
      <alignment horizontal="left"/>
    </xf>
    <xf numFmtId="0" fontId="20" fillId="5" borderId="6" xfId="0" applyFont="1" applyFill="1" applyBorder="1" applyAlignment="1">
      <alignment horizontal="left"/>
    </xf>
    <xf numFmtId="0" fontId="21" fillId="6" borderId="0" xfId="0" applyFont="1" applyFill="1" applyBorder="1" applyAlignment="1">
      <alignment horizontal="left"/>
    </xf>
    <xf numFmtId="0" fontId="22" fillId="6" borderId="15" xfId="0" applyFont="1" applyFill="1" applyBorder="1" applyAlignment="1">
      <alignment horizontal="left"/>
    </xf>
    <xf numFmtId="0" fontId="21" fillId="6" borderId="1" xfId="0" applyFont="1" applyFill="1" applyBorder="1" applyAlignment="1">
      <alignment horizontal="left"/>
    </xf>
    <xf numFmtId="169" fontId="0" fillId="3" borderId="3" xfId="3" applyNumberFormat="1" applyFont="1" applyFill="1" applyBorder="1" applyAlignment="1">
      <alignment horizontal="center"/>
    </xf>
    <xf numFmtId="0" fontId="3" fillId="0" borderId="0" xfId="0" applyFont="1"/>
    <xf numFmtId="0" fontId="25" fillId="0" borderId="0" xfId="0" applyFont="1"/>
    <xf numFmtId="0" fontId="1" fillId="0" borderId="0" xfId="0" applyFont="1"/>
    <xf numFmtId="0" fontId="27" fillId="0" borderId="0" xfId="0" applyFont="1"/>
    <xf numFmtId="0" fontId="28" fillId="0" borderId="0" xfId="0" applyFont="1"/>
    <xf numFmtId="0" fontId="0" fillId="2" borderId="12" xfId="0" applyFill="1" applyBorder="1" applyAlignment="1">
      <alignment horizontal="center"/>
    </xf>
    <xf numFmtId="0" fontId="0" fillId="2" borderId="13" xfId="0" applyFill="1"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-189336.5</c:v>
                </c:pt>
                <c:pt idx="4">
                  <c:v>-180609.25</c:v>
                </c:pt>
                <c:pt idx="5">
                  <c:v>-172459.25</c:v>
                </c:pt>
                <c:pt idx="6">
                  <c:v>-165784.75</c:v>
                </c:pt>
                <c:pt idx="7">
                  <c:v>-157721.75</c:v>
                </c:pt>
                <c:pt idx="8">
                  <c:v>-147601.25</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10319</c:v>
                </c:pt>
                <c:pt idx="1">
                  <c:v>19402.5</c:v>
                </c:pt>
                <c:pt idx="2">
                  <c:v>28405</c:v>
                </c:pt>
                <c:pt idx="3">
                  <c:v>0</c:v>
                </c:pt>
                <c:pt idx="4">
                  <c:v>0</c:v>
                </c:pt>
                <c:pt idx="5">
                  <c:v>0</c:v>
                </c:pt>
                <c:pt idx="6">
                  <c:v>0</c:v>
                </c:pt>
                <c:pt idx="7">
                  <c:v>0</c:v>
                </c:pt>
                <c:pt idx="8">
                  <c:v>0</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100000"/>
          <c:min val="-20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5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285751</xdr:rowOff>
    </xdr:from>
    <xdr:to>
      <xdr:col>6</xdr:col>
      <xdr:colOff>581025</xdr:colOff>
      <xdr:row>9</xdr:row>
      <xdr:rowOff>114300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352925" y="485776"/>
          <a:ext cx="2171700" cy="15144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2</xdr:row>
      <xdr:rowOff>114301</xdr:rowOff>
    </xdr:from>
    <xdr:to>
      <xdr:col>6</xdr:col>
      <xdr:colOff>361950</xdr:colOff>
      <xdr:row>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62475" y="619126"/>
          <a:ext cx="1743075" cy="1333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828676</xdr:colOff>
      <xdr:row>9</xdr:row>
      <xdr:rowOff>180975</xdr:rowOff>
    </xdr:from>
    <xdr:to>
      <xdr:col>7</xdr:col>
      <xdr:colOff>161925</xdr:colOff>
      <xdr:row>13</xdr:row>
      <xdr:rowOff>66675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981576" y="2066925"/>
          <a:ext cx="1981199" cy="6572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2019)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42%, Collect1 = 52%, and Collect2 = 6%, the NORMAL scenario will use the base case collection rates given here, and the BAD scenario will use Collect0 = 30%, Collect1 = 45%, and Collect2 = 25%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$100,000 and the minimum to -$200,000 with major unit divisions set to $25,000. FORMAT the chart so that it is self-explanatory and professional and appropriatel in appearance (which includes dollar signs on dollars).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K50"/>
  <sheetViews>
    <sheetView showGridLines="0" tabSelected="1" workbookViewId="0">
      <selection activeCell="J43" sqref="J43"/>
    </sheetView>
  </sheetViews>
  <sheetFormatPr defaultRowHeight="15" x14ac:dyDescent="0.25"/>
  <cols>
    <col min="1" max="1" width="3.140625" customWidth="1"/>
    <col min="2" max="2" width="4.5703125" customWidth="1"/>
    <col min="4" max="4" width="15.28515625" customWidth="1"/>
    <col min="5" max="5" width="7.140625" customWidth="1"/>
    <col min="6" max="6" width="14" customWidth="1"/>
  </cols>
  <sheetData>
    <row r="1" spans="2:6" ht="15.75" thickBot="1" x14ac:dyDescent="0.3"/>
    <row r="2" spans="2:6" ht="15.75" thickBot="1" x14ac:dyDescent="0.3">
      <c r="B2" s="135" t="s">
        <v>225</v>
      </c>
      <c r="C2" s="135"/>
      <c r="D2" s="135"/>
      <c r="E2" s="135"/>
      <c r="F2" s="100"/>
    </row>
    <row r="3" spans="2:6" ht="15.75" thickBot="1" x14ac:dyDescent="0.3">
      <c r="B3" s="135"/>
      <c r="C3" s="135"/>
      <c r="D3" s="135"/>
      <c r="E3" s="135"/>
    </row>
    <row r="4" spans="2:6" ht="15.75" thickBot="1" x14ac:dyDescent="0.3">
      <c r="B4" s="135" t="s">
        <v>226</v>
      </c>
      <c r="E4" s="140"/>
      <c r="F4" s="141"/>
    </row>
    <row r="5" spans="2:6" x14ac:dyDescent="0.25">
      <c r="B5" s="135"/>
    </row>
    <row r="6" spans="2:6" ht="18.75" x14ac:dyDescent="0.3">
      <c r="B6" s="45" t="s">
        <v>111</v>
      </c>
    </row>
    <row r="7" spans="2:6" ht="18.75" x14ac:dyDescent="0.3">
      <c r="B7" s="45" t="s">
        <v>227</v>
      </c>
    </row>
    <row r="8" spans="2:6" ht="18.75" x14ac:dyDescent="0.3">
      <c r="B8" s="45" t="s">
        <v>112</v>
      </c>
    </row>
    <row r="9" spans="2:6" ht="18.75" x14ac:dyDescent="0.3">
      <c r="B9" s="45"/>
    </row>
    <row r="10" spans="2:6" ht="18.75" x14ac:dyDescent="0.3">
      <c r="B10" s="45" t="s">
        <v>228</v>
      </c>
    </row>
    <row r="11" spans="2:6" ht="18.75" x14ac:dyDescent="0.3">
      <c r="B11" s="45"/>
    </row>
    <row r="12" spans="2:6" ht="18.75" x14ac:dyDescent="0.3">
      <c r="B12" s="45" t="s">
        <v>113</v>
      </c>
    </row>
    <row r="13" spans="2:6" ht="18.75" x14ac:dyDescent="0.3">
      <c r="B13" s="45" t="s">
        <v>125</v>
      </c>
    </row>
    <row r="14" spans="2:6" ht="18.75" x14ac:dyDescent="0.3">
      <c r="B14" s="45"/>
    </row>
    <row r="15" spans="2:6" ht="18.75" x14ac:dyDescent="0.3">
      <c r="B15" s="45" t="s">
        <v>116</v>
      </c>
    </row>
    <row r="16" spans="2:6" ht="18.75" x14ac:dyDescent="0.3">
      <c r="B16" s="45" t="s">
        <v>117</v>
      </c>
    </row>
    <row r="17" spans="2:11" ht="18.75" x14ac:dyDescent="0.3">
      <c r="B17" s="45" t="s">
        <v>118</v>
      </c>
    </row>
    <row r="18" spans="2:11" ht="18.75" x14ac:dyDescent="0.3">
      <c r="B18" s="45"/>
    </row>
    <row r="19" spans="2:11" x14ac:dyDescent="0.25">
      <c r="B19" t="s">
        <v>229</v>
      </c>
    </row>
    <row r="20" spans="2:11" ht="18.75" x14ac:dyDescent="0.3">
      <c r="B20" s="45"/>
    </row>
    <row r="21" spans="2:11" x14ac:dyDescent="0.25">
      <c r="B21" t="s">
        <v>114</v>
      </c>
    </row>
    <row r="22" spans="2:11" ht="6" customHeight="1" x14ac:dyDescent="0.25"/>
    <row r="23" spans="2:11" x14ac:dyDescent="0.25">
      <c r="B23" t="s">
        <v>115</v>
      </c>
    </row>
    <row r="25" spans="2:11" x14ac:dyDescent="0.25">
      <c r="B25" t="s">
        <v>126</v>
      </c>
    </row>
    <row r="26" spans="2:11" x14ac:dyDescent="0.25">
      <c r="B26" t="s">
        <v>165</v>
      </c>
    </row>
    <row r="27" spans="2:11" x14ac:dyDescent="0.25">
      <c r="B27" t="s">
        <v>127</v>
      </c>
    </row>
    <row r="29" spans="2:11" ht="15.75" thickBot="1" x14ac:dyDescent="0.3">
      <c r="B29" s="1"/>
      <c r="C29" s="1"/>
      <c r="D29" s="1"/>
      <c r="E29" s="1"/>
      <c r="F29" s="1"/>
      <c r="G29" s="1"/>
      <c r="H29" s="1"/>
      <c r="I29" s="1"/>
      <c r="J29" s="1"/>
      <c r="K29" s="1"/>
    </row>
    <row r="30" spans="2:11" s="136" customFormat="1" ht="15.75" x14ac:dyDescent="0.25"/>
    <row r="31" spans="2:11" ht="18.75" x14ac:dyDescent="0.3">
      <c r="B31" s="45" t="s">
        <v>119</v>
      </c>
    </row>
    <row r="32" spans="2:11" ht="8.25" customHeight="1" x14ac:dyDescent="0.25"/>
    <row r="33" spans="2:3" s="137" customFormat="1" ht="28.5" x14ac:dyDescent="0.45">
      <c r="B33" t="s">
        <v>230</v>
      </c>
      <c r="C33" s="45" t="s">
        <v>231</v>
      </c>
    </row>
    <row r="34" spans="2:3" s="137" customFormat="1" ht="9" customHeight="1" x14ac:dyDescent="0.25">
      <c r="B34"/>
      <c r="C34"/>
    </row>
    <row r="35" spans="2:3" s="137" customFormat="1" ht="18.75" x14ac:dyDescent="0.3">
      <c r="B35" t="s">
        <v>230</v>
      </c>
      <c r="C35" s="138" t="s">
        <v>232</v>
      </c>
    </row>
    <row r="36" spans="2:3" s="137" customFormat="1" x14ac:dyDescent="0.25">
      <c r="B36"/>
      <c r="C36"/>
    </row>
    <row r="37" spans="2:3" s="137" customFormat="1" x14ac:dyDescent="0.25">
      <c r="B37"/>
      <c r="C37" s="139" t="s">
        <v>233</v>
      </c>
    </row>
    <row r="38" spans="2:3" s="137" customFormat="1" x14ac:dyDescent="0.25">
      <c r="B38" t="s">
        <v>230</v>
      </c>
      <c r="C38" t="s">
        <v>234</v>
      </c>
    </row>
    <row r="39" spans="2:3" s="137" customFormat="1" x14ac:dyDescent="0.25">
      <c r="B39" t="s">
        <v>230</v>
      </c>
      <c r="C39" t="s">
        <v>235</v>
      </c>
    </row>
    <row r="40" spans="2:3" s="137" customFormat="1" x14ac:dyDescent="0.25">
      <c r="B40" t="s">
        <v>230</v>
      </c>
      <c r="C40" t="s">
        <v>236</v>
      </c>
    </row>
    <row r="41" spans="2:3" s="137" customFormat="1" x14ac:dyDescent="0.25">
      <c r="B41" t="s">
        <v>230</v>
      </c>
      <c r="C41" t="s">
        <v>237</v>
      </c>
    </row>
    <row r="42" spans="2:3" s="137" customFormat="1" x14ac:dyDescent="0.25">
      <c r="B42"/>
      <c r="C42"/>
    </row>
    <row r="43" spans="2:3" s="137" customFormat="1" x14ac:dyDescent="0.25">
      <c r="B43"/>
      <c r="C43" s="139" t="s">
        <v>238</v>
      </c>
    </row>
    <row r="44" spans="2:3" s="137" customFormat="1" x14ac:dyDescent="0.25">
      <c r="B44" t="s">
        <v>230</v>
      </c>
      <c r="C44" t="s">
        <v>239</v>
      </c>
    </row>
    <row r="45" spans="2:3" s="137" customFormat="1" x14ac:dyDescent="0.25">
      <c r="B45"/>
      <c r="C45" t="s">
        <v>240</v>
      </c>
    </row>
    <row r="46" spans="2:3" s="137" customFormat="1" x14ac:dyDescent="0.25">
      <c r="B46" t="s">
        <v>230</v>
      </c>
      <c r="C46" t="s">
        <v>241</v>
      </c>
    </row>
    <row r="47" spans="2:3" s="137" customFormat="1" x14ac:dyDescent="0.25">
      <c r="B47" t="s">
        <v>230</v>
      </c>
      <c r="C47" t="s">
        <v>236</v>
      </c>
    </row>
    <row r="48" spans="2:3" s="137" customFormat="1" x14ac:dyDescent="0.25">
      <c r="B48"/>
      <c r="C48"/>
    </row>
    <row r="49" spans="2:3" s="137" customFormat="1" x14ac:dyDescent="0.25">
      <c r="B49"/>
      <c r="C49" s="139"/>
    </row>
    <row r="50" spans="2:3" s="137" customFormat="1" x14ac:dyDescent="0.25">
      <c r="B50"/>
      <c r="C50"/>
    </row>
  </sheetData>
  <mergeCells count="1">
    <mergeCell ref="E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L97"/>
  <sheetViews>
    <sheetView showGridLines="0" zoomScale="115" zoomScaleNormal="115" workbookViewId="0">
      <selection activeCell="D94" sqref="D94"/>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customWidth="1"/>
    <col min="11" max="11" width="76.42578125" customWidth="1"/>
    <col min="12" max="12" width="2.140625" customWidth="1"/>
  </cols>
  <sheetData>
    <row r="1" spans="2:12" ht="15.75" thickBot="1" x14ac:dyDescent="0.3">
      <c r="B1" s="1"/>
      <c r="C1" s="1"/>
      <c r="D1" s="1"/>
    </row>
    <row r="2" spans="2:12" s="2" customFormat="1" ht="24" customHeight="1" thickBot="1" x14ac:dyDescent="0.35">
      <c r="B2" s="147" t="s">
        <v>205</v>
      </c>
      <c r="C2" s="147"/>
      <c r="D2" s="147"/>
      <c r="I2" s="51"/>
      <c r="J2" s="52"/>
      <c r="K2" s="53"/>
      <c r="L2" s="54"/>
    </row>
    <row r="3" spans="2:12" s="2" customFormat="1" ht="18.75" customHeight="1" x14ac:dyDescent="0.25">
      <c r="B3" s="3" t="s">
        <v>0</v>
      </c>
      <c r="C3" s="3"/>
      <c r="D3" s="110">
        <v>0.28000000000000003</v>
      </c>
      <c r="I3" s="55"/>
      <c r="J3" s="56" t="s">
        <v>65</v>
      </c>
      <c r="K3" s="57" t="s">
        <v>208</v>
      </c>
      <c r="L3" s="58"/>
    </row>
    <row r="4" spans="2:12" s="2" customFormat="1" x14ac:dyDescent="0.25">
      <c r="B4" s="3" t="s">
        <v>1</v>
      </c>
      <c r="C4" s="3"/>
      <c r="D4" s="106">
        <v>462500</v>
      </c>
      <c r="I4" s="55"/>
      <c r="J4" s="59"/>
      <c r="K4" s="57" t="s">
        <v>66</v>
      </c>
      <c r="L4" s="58"/>
    </row>
    <row r="5" spans="2:12" s="2" customFormat="1" x14ac:dyDescent="0.25">
      <c r="B5" s="3" t="s">
        <v>12</v>
      </c>
      <c r="C5" s="3"/>
      <c r="D5" s="107">
        <v>7985000</v>
      </c>
      <c r="I5" s="55"/>
      <c r="J5" s="59"/>
      <c r="K5" s="57" t="s">
        <v>209</v>
      </c>
      <c r="L5" s="58"/>
    </row>
    <row r="6" spans="2:12" s="2" customFormat="1" x14ac:dyDescent="0.25">
      <c r="B6" s="3" t="s">
        <v>2</v>
      </c>
      <c r="C6" s="3"/>
      <c r="D6" s="107">
        <v>850000</v>
      </c>
      <c r="I6" s="55"/>
      <c r="J6" s="59"/>
      <c r="K6" s="57" t="s">
        <v>68</v>
      </c>
      <c r="L6" s="58"/>
    </row>
    <row r="7" spans="2:12" s="2" customFormat="1" x14ac:dyDescent="0.25">
      <c r="B7" s="3" t="s">
        <v>4</v>
      </c>
      <c r="C7" s="3"/>
      <c r="D7" s="107">
        <v>725000</v>
      </c>
      <c r="I7" s="55"/>
      <c r="J7" s="57"/>
      <c r="K7" s="57"/>
      <c r="L7" s="58"/>
    </row>
    <row r="8" spans="2:12" s="2" customFormat="1" x14ac:dyDescent="0.25">
      <c r="B8" s="3" t="s">
        <v>5</v>
      </c>
      <c r="C8" s="3"/>
      <c r="D8" s="107">
        <v>625000</v>
      </c>
      <c r="I8" s="55"/>
      <c r="J8" s="56" t="s">
        <v>67</v>
      </c>
      <c r="K8" s="57" t="s">
        <v>210</v>
      </c>
      <c r="L8" s="58"/>
    </row>
    <row r="9" spans="2:12" s="2" customFormat="1" x14ac:dyDescent="0.25">
      <c r="B9" s="3" t="s">
        <v>3</v>
      </c>
      <c r="C9" s="3"/>
      <c r="D9" s="107">
        <v>1325000</v>
      </c>
      <c r="I9" s="55"/>
      <c r="J9" s="59"/>
      <c r="K9" s="57" t="s">
        <v>69</v>
      </c>
      <c r="L9" s="58"/>
    </row>
    <row r="10" spans="2:12" s="2" customFormat="1" x14ac:dyDescent="0.25">
      <c r="B10" s="3" t="s">
        <v>7</v>
      </c>
      <c r="C10" s="3"/>
      <c r="D10" s="107">
        <v>1985000</v>
      </c>
      <c r="I10" s="55"/>
      <c r="J10" s="59"/>
      <c r="K10" s="57"/>
      <c r="L10" s="58"/>
    </row>
    <row r="11" spans="2:12" s="2" customFormat="1" x14ac:dyDescent="0.25">
      <c r="B11" s="3" t="s">
        <v>8</v>
      </c>
      <c r="C11" s="3"/>
      <c r="D11" s="107">
        <v>1385000</v>
      </c>
      <c r="I11" s="55"/>
      <c r="J11" s="56" t="s">
        <v>70</v>
      </c>
      <c r="K11" s="57" t="s">
        <v>71</v>
      </c>
      <c r="L11" s="58"/>
    </row>
    <row r="12" spans="2:12" s="2" customFormat="1" x14ac:dyDescent="0.25">
      <c r="B12" s="3" t="s">
        <v>9</v>
      </c>
      <c r="C12" s="3"/>
      <c r="D12" s="107">
        <v>1172000</v>
      </c>
      <c r="I12" s="55"/>
      <c r="J12" s="59"/>
      <c r="K12" s="57" t="s">
        <v>72</v>
      </c>
      <c r="L12" s="58"/>
    </row>
    <row r="13" spans="2:12" s="2" customFormat="1" ht="15.75" thickBot="1" x14ac:dyDescent="0.3">
      <c r="B13" s="3" t="s">
        <v>6</v>
      </c>
      <c r="C13" s="3"/>
      <c r="D13" s="108">
        <v>0.75</v>
      </c>
      <c r="I13" s="60"/>
      <c r="J13" s="63"/>
      <c r="K13" s="62"/>
      <c r="L13" s="61"/>
    </row>
    <row r="14" spans="2:12" s="2" customFormat="1" ht="15.75" thickBot="1" x14ac:dyDescent="0.3">
      <c r="B14" s="5" t="s">
        <v>73</v>
      </c>
      <c r="C14" s="5"/>
      <c r="D14" s="109">
        <v>1256000</v>
      </c>
      <c r="I14"/>
      <c r="J14"/>
      <c r="K14"/>
      <c r="L14"/>
    </row>
    <row r="15" spans="2:12" s="2" customFormat="1" ht="17.25" x14ac:dyDescent="0.4">
      <c r="B15" s="6" t="s">
        <v>211</v>
      </c>
      <c r="C15" s="6"/>
      <c r="D15" s="4"/>
      <c r="I15"/>
      <c r="J15"/>
      <c r="K15"/>
      <c r="L15"/>
    </row>
    <row r="16" spans="2:12" ht="15.75" thickBot="1" x14ac:dyDescent="0.3">
      <c r="B16" s="7" t="s">
        <v>212</v>
      </c>
      <c r="C16" s="7"/>
      <c r="D16" s="1"/>
    </row>
    <row r="17" spans="2:8" ht="15.75" thickBot="1" x14ac:dyDescent="0.3">
      <c r="B17" s="1"/>
      <c r="C17" s="1"/>
      <c r="D17" s="1"/>
      <c r="E17" s="1"/>
      <c r="F17" s="1"/>
      <c r="G17" s="1"/>
    </row>
    <row r="18" spans="2:8" ht="21" customHeight="1" x14ac:dyDescent="0.3">
      <c r="B18" s="148" t="s">
        <v>10</v>
      </c>
      <c r="C18" s="148"/>
      <c r="D18" s="148"/>
      <c r="E18" s="148"/>
      <c r="F18" s="148"/>
      <c r="G18" s="148"/>
    </row>
    <row r="19" spans="2:8" ht="21" customHeight="1" x14ac:dyDescent="0.3">
      <c r="B19" s="148" t="s">
        <v>206</v>
      </c>
      <c r="C19" s="148"/>
      <c r="D19" s="148"/>
      <c r="E19" s="148"/>
      <c r="F19" s="148"/>
      <c r="G19" s="148"/>
    </row>
    <row r="20" spans="2:8" ht="21" customHeight="1" thickBot="1" x14ac:dyDescent="0.35">
      <c r="B20" s="142" t="s">
        <v>11</v>
      </c>
      <c r="C20" s="142"/>
      <c r="D20" s="143"/>
      <c r="E20" s="143"/>
      <c r="F20" s="143"/>
      <c r="G20" s="143"/>
    </row>
    <row r="21" spans="2:8" ht="9" customHeight="1" x14ac:dyDescent="0.3">
      <c r="B21" s="8"/>
      <c r="C21" s="8"/>
      <c r="D21" s="8"/>
      <c r="E21" s="8"/>
      <c r="F21" s="8"/>
      <c r="G21" s="8"/>
    </row>
    <row r="22" spans="2:8" ht="17.25" x14ac:dyDescent="0.4">
      <c r="B22" s="2"/>
      <c r="C22" s="2"/>
      <c r="D22" s="128" t="s">
        <v>207</v>
      </c>
      <c r="E22" s="128" t="s">
        <v>197</v>
      </c>
      <c r="F22" s="128" t="s">
        <v>207</v>
      </c>
      <c r="G22" s="128" t="s">
        <v>197</v>
      </c>
    </row>
    <row r="23" spans="2:8" x14ac:dyDescent="0.25">
      <c r="B23" s="2" t="s">
        <v>12</v>
      </c>
      <c r="C23" s="2"/>
      <c r="D23" s="9">
        <v>7985</v>
      </c>
      <c r="E23" s="9">
        <v>9425</v>
      </c>
      <c r="F23" s="10">
        <f>D23/D$23</f>
        <v>1</v>
      </c>
      <c r="G23" s="10">
        <f>E23/E$23</f>
        <v>1</v>
      </c>
    </row>
    <row r="24" spans="2:8" ht="17.25" x14ac:dyDescent="0.4">
      <c r="B24" s="11" t="s">
        <v>13</v>
      </c>
      <c r="C24" s="11"/>
      <c r="D24" s="11">
        <f>E24/E23*D23</f>
        <v>3918.3687002652518</v>
      </c>
      <c r="E24" s="11">
        <v>4625</v>
      </c>
      <c r="F24" s="10">
        <f t="shared" ref="F24:G33" si="0">D24/D$23</f>
        <v>0.49071618037135278</v>
      </c>
      <c r="G24" s="10">
        <f t="shared" si="0"/>
        <v>0.49071618037135278</v>
      </c>
      <c r="H24" s="12"/>
    </row>
    <row r="25" spans="2:8" x14ac:dyDescent="0.25">
      <c r="B25" s="2" t="s">
        <v>14</v>
      </c>
      <c r="C25" s="2"/>
      <c r="D25" s="9">
        <f>D23-D24</f>
        <v>4066.6312997347482</v>
      </c>
      <c r="E25" s="9">
        <f>E23-E24</f>
        <v>4800</v>
      </c>
      <c r="F25" s="10">
        <f t="shared" si="0"/>
        <v>0.50928381962864722</v>
      </c>
      <c r="G25" s="10">
        <f t="shared" si="0"/>
        <v>0.50928381962864722</v>
      </c>
    </row>
    <row r="26" spans="2:8" x14ac:dyDescent="0.25">
      <c r="B26" s="2" t="s">
        <v>2</v>
      </c>
      <c r="C26" s="2"/>
      <c r="D26" s="2">
        <f>D6/1000</f>
        <v>850</v>
      </c>
      <c r="E26" s="2">
        <v>946</v>
      </c>
      <c r="F26" s="10">
        <f t="shared" si="0"/>
        <v>0.10644959298685035</v>
      </c>
      <c r="G26" s="10">
        <f t="shared" si="0"/>
        <v>0.10037135278514589</v>
      </c>
    </row>
    <row r="27" spans="2:8" x14ac:dyDescent="0.25">
      <c r="B27" s="2" t="s">
        <v>3</v>
      </c>
      <c r="C27" s="2"/>
      <c r="D27" s="2">
        <f>D9/1000</f>
        <v>1325</v>
      </c>
      <c r="E27" s="2">
        <v>1325</v>
      </c>
      <c r="F27" s="10">
        <f t="shared" si="0"/>
        <v>0.16593613024420789</v>
      </c>
      <c r="G27" s="10">
        <f t="shared" si="0"/>
        <v>0.14058355437665782</v>
      </c>
    </row>
    <row r="28" spans="2:8" ht="17.25" x14ac:dyDescent="0.4">
      <c r="B28" s="11" t="s">
        <v>4</v>
      </c>
      <c r="C28" s="11"/>
      <c r="D28" s="11">
        <f>D7/1000</f>
        <v>725</v>
      </c>
      <c r="E28" s="11">
        <v>650</v>
      </c>
      <c r="F28" s="10">
        <f t="shared" si="0"/>
        <v>9.0795241077019417E-2</v>
      </c>
      <c r="G28" s="10">
        <f t="shared" si="0"/>
        <v>6.8965517241379309E-2</v>
      </c>
    </row>
    <row r="29" spans="2:8" x14ac:dyDescent="0.25">
      <c r="B29" s="2" t="s">
        <v>15</v>
      </c>
      <c r="C29" s="2"/>
      <c r="D29" s="9">
        <f>D25-D26-D27-D28</f>
        <v>1166.6312997347482</v>
      </c>
      <c r="E29" s="9">
        <f>E25-E26-E27-E28</f>
        <v>1879</v>
      </c>
      <c r="F29" s="10">
        <f t="shared" si="0"/>
        <v>0.14610285532056957</v>
      </c>
      <c r="G29" s="10">
        <f t="shared" si="0"/>
        <v>0.1993633952254642</v>
      </c>
    </row>
    <row r="30" spans="2:8" ht="17.25" x14ac:dyDescent="0.4">
      <c r="B30" s="11" t="s">
        <v>5</v>
      </c>
      <c r="C30" s="11"/>
      <c r="D30" s="11">
        <f>D8/1000</f>
        <v>625</v>
      </c>
      <c r="E30" s="11">
        <v>615</v>
      </c>
      <c r="F30" s="10">
        <f t="shared" si="0"/>
        <v>7.8271759549154662E-2</v>
      </c>
      <c r="G30" s="10">
        <f t="shared" si="0"/>
        <v>6.5251989389920426E-2</v>
      </c>
    </row>
    <row r="31" spans="2:8" x14ac:dyDescent="0.25">
      <c r="B31" s="2" t="s">
        <v>16</v>
      </c>
      <c r="C31" s="2"/>
      <c r="D31" s="9">
        <f>D29-D30</f>
        <v>541.63129973474815</v>
      </c>
      <c r="E31" s="9">
        <f>E29-E30</f>
        <v>1264</v>
      </c>
      <c r="F31" s="10">
        <f t="shared" si="0"/>
        <v>6.7831095771414926E-2</v>
      </c>
      <c r="G31" s="10">
        <f t="shared" si="0"/>
        <v>0.13411140583554376</v>
      </c>
    </row>
    <row r="32" spans="2:8" ht="17.25" x14ac:dyDescent="0.4">
      <c r="B32" s="11" t="s">
        <v>17</v>
      </c>
      <c r="C32" s="11"/>
      <c r="D32" s="11">
        <f>D31*D3</f>
        <v>151.65676392572951</v>
      </c>
      <c r="E32" s="11">
        <f>E31*0.28</f>
        <v>353.92</v>
      </c>
      <c r="F32" s="10">
        <f t="shared" si="0"/>
        <v>1.8992706815996182E-2</v>
      </c>
      <c r="G32" s="10">
        <f t="shared" si="0"/>
        <v>3.7551193633952255E-2</v>
      </c>
    </row>
    <row r="33" spans="2:7" x14ac:dyDescent="0.25">
      <c r="B33" s="2" t="s">
        <v>18</v>
      </c>
      <c r="C33" s="2"/>
      <c r="D33" s="9">
        <f>D31-D32</f>
        <v>389.97453580901868</v>
      </c>
      <c r="E33" s="9">
        <f>E31-E32</f>
        <v>910.07999999999993</v>
      </c>
      <c r="F33" s="10">
        <f t="shared" si="0"/>
        <v>4.8838388955418748E-2</v>
      </c>
      <c r="G33" s="10">
        <f t="shared" si="0"/>
        <v>9.65602122015915E-2</v>
      </c>
    </row>
    <row r="34" spans="2:7" ht="18" thickBot="1" x14ac:dyDescent="0.45">
      <c r="B34" s="11"/>
      <c r="C34" s="11"/>
      <c r="D34" s="11"/>
      <c r="E34" s="11"/>
      <c r="F34" s="10"/>
      <c r="G34" s="10"/>
    </row>
    <row r="35" spans="2:7" ht="15.75" thickBot="1" x14ac:dyDescent="0.3">
      <c r="B35" s="2" t="s">
        <v>19</v>
      </c>
      <c r="D35" s="27">
        <f>D33/D4*1000</f>
        <v>0.84318818553301333</v>
      </c>
      <c r="E35" s="9"/>
      <c r="F35" s="10"/>
      <c r="G35" s="10"/>
    </row>
    <row r="36" spans="2:7" ht="7.5" customHeight="1" x14ac:dyDescent="0.25">
      <c r="B36" s="2"/>
      <c r="C36" s="2"/>
      <c r="D36" s="9"/>
      <c r="E36" s="9"/>
    </row>
    <row r="37" spans="2:7" ht="7.5" customHeight="1" x14ac:dyDescent="0.25"/>
    <row r="38" spans="2:7" ht="7.5" customHeight="1" thickBot="1" x14ac:dyDescent="0.3">
      <c r="B38" s="1"/>
      <c r="C38" s="1"/>
      <c r="D38" s="1"/>
      <c r="E38" s="1"/>
      <c r="F38" s="1"/>
      <c r="G38" s="1"/>
    </row>
    <row r="39" spans="2:7" ht="18.75" x14ac:dyDescent="0.3">
      <c r="B39" s="148" t="s">
        <v>20</v>
      </c>
      <c r="C39" s="148"/>
      <c r="D39" s="148"/>
      <c r="E39" s="148"/>
      <c r="F39" s="148"/>
      <c r="G39" s="148"/>
    </row>
    <row r="40" spans="2:7" ht="18.75" x14ac:dyDescent="0.3">
      <c r="B40" s="148" t="s">
        <v>206</v>
      </c>
      <c r="C40" s="148"/>
      <c r="D40" s="148"/>
      <c r="E40" s="148"/>
      <c r="F40" s="148"/>
      <c r="G40" s="148"/>
    </row>
    <row r="41" spans="2:7" ht="19.5" thickBot="1" x14ac:dyDescent="0.35">
      <c r="B41" s="142" t="s">
        <v>11</v>
      </c>
      <c r="C41" s="142"/>
      <c r="D41" s="143"/>
      <c r="E41" s="143"/>
      <c r="F41" s="143"/>
      <c r="G41" s="143"/>
    </row>
    <row r="42" spans="2:7" ht="18.75" x14ac:dyDescent="0.3">
      <c r="B42" s="13"/>
      <c r="C42" s="13"/>
      <c r="D42" s="8"/>
      <c r="E42" s="8"/>
      <c r="F42" s="8"/>
      <c r="G42" s="8"/>
    </row>
    <row r="43" spans="2:7" ht="17.25" x14ac:dyDescent="0.4">
      <c r="D43" s="128" t="s">
        <v>207</v>
      </c>
      <c r="E43" s="128" t="s">
        <v>197</v>
      </c>
      <c r="F43" s="128" t="s">
        <v>207</v>
      </c>
      <c r="G43" s="128" t="s">
        <v>197</v>
      </c>
    </row>
    <row r="44" spans="2:7" x14ac:dyDescent="0.25">
      <c r="B44" s="14" t="s">
        <v>21</v>
      </c>
      <c r="C44" s="2"/>
      <c r="D44" s="15">
        <f>D49-D48-D47-D46-D45</f>
        <v>22873.099535809015</v>
      </c>
      <c r="E44" s="15">
        <f>E49-E48-E47-E46-E45</f>
        <v>22357</v>
      </c>
      <c r="F44" s="10">
        <f>D44/D$67</f>
        <v>0.54739846954791183</v>
      </c>
      <c r="G44" s="10">
        <f>E44/E$67</f>
        <v>0.55092284566669136</v>
      </c>
    </row>
    <row r="45" spans="2:7" x14ac:dyDescent="0.25">
      <c r="B45" s="14" t="s">
        <v>22</v>
      </c>
      <c r="C45" s="2"/>
      <c r="D45" s="47">
        <v>675</v>
      </c>
      <c r="E45" s="2">
        <v>725</v>
      </c>
      <c r="F45" s="10">
        <f t="shared" ref="F45:G67" si="1">D45/D$67</f>
        <v>1.6154083812138301E-2</v>
      </c>
      <c r="G45" s="10">
        <f t="shared" si="1"/>
        <v>1.7865503560779674E-2</v>
      </c>
    </row>
    <row r="46" spans="2:7" x14ac:dyDescent="0.25">
      <c r="B46" s="14" t="s">
        <v>23</v>
      </c>
      <c r="C46" s="2"/>
      <c r="D46" s="2">
        <f>D10/1000</f>
        <v>1985</v>
      </c>
      <c r="E46" s="2">
        <v>1872</v>
      </c>
      <c r="F46" s="10">
        <f t="shared" si="1"/>
        <v>4.7504972395695594E-2</v>
      </c>
      <c r="G46" s="10">
        <f t="shared" si="1"/>
        <v>4.6129962297626968E-2</v>
      </c>
    </row>
    <row r="47" spans="2:7" x14ac:dyDescent="0.25">
      <c r="B47" s="14" t="s">
        <v>8</v>
      </c>
      <c r="C47" s="2"/>
      <c r="D47" s="2">
        <f>D11/1000</f>
        <v>1385</v>
      </c>
      <c r="E47" s="2">
        <v>1526</v>
      </c>
      <c r="F47" s="10">
        <f t="shared" si="1"/>
        <v>3.3145786784905991E-2</v>
      </c>
      <c r="G47" s="10">
        <f t="shared" si="1"/>
        <v>3.76038047362066E-2</v>
      </c>
    </row>
    <row r="48" spans="2:7" ht="17.25" x14ac:dyDescent="0.4">
      <c r="B48" s="16" t="s">
        <v>24</v>
      </c>
      <c r="C48" s="2"/>
      <c r="D48" s="48">
        <v>380</v>
      </c>
      <c r="E48" s="11">
        <v>245</v>
      </c>
      <c r="F48" s="10">
        <f t="shared" si="1"/>
        <v>9.0941508868334128E-3</v>
      </c>
      <c r="G48" s="10">
        <f t="shared" si="1"/>
        <v>6.0373080998496831E-3</v>
      </c>
    </row>
    <row r="49" spans="2:7" x14ac:dyDescent="0.25">
      <c r="B49" s="17" t="s">
        <v>25</v>
      </c>
      <c r="C49" s="17"/>
      <c r="D49" s="18">
        <f>D54-D53-D52</f>
        <v>27298.099535809015</v>
      </c>
      <c r="E49" s="18">
        <f>E54-E53-E52</f>
        <v>26725</v>
      </c>
      <c r="F49" s="10">
        <f t="shared" si="1"/>
        <v>0.65329746342748507</v>
      </c>
      <c r="G49" s="10">
        <f t="shared" si="1"/>
        <v>0.65855942436115422</v>
      </c>
    </row>
    <row r="50" spans="2:7" x14ac:dyDescent="0.25">
      <c r="B50" s="14" t="s">
        <v>26</v>
      </c>
      <c r="C50" s="2"/>
      <c r="D50" s="2">
        <f>E50+D14/1000</f>
        <v>17118</v>
      </c>
      <c r="E50" s="2">
        <v>15862</v>
      </c>
      <c r="F50" s="10">
        <f t="shared" si="1"/>
        <v>0.40966756547582728</v>
      </c>
      <c r="G50" s="10">
        <f t="shared" si="1"/>
        <v>0.39087257583598234</v>
      </c>
    </row>
    <row r="51" spans="2:7" ht="17.25" x14ac:dyDescent="0.4">
      <c r="B51" s="16" t="s">
        <v>27</v>
      </c>
      <c r="C51" s="2"/>
      <c r="D51" s="11">
        <f>E51+D28</f>
        <v>5376</v>
      </c>
      <c r="E51" s="11">
        <v>4651</v>
      </c>
      <c r="F51" s="10">
        <f t="shared" si="1"/>
        <v>0.12865830307267481</v>
      </c>
      <c r="G51" s="10">
        <f t="shared" si="1"/>
        <v>0.11461028560163623</v>
      </c>
    </row>
    <row r="52" spans="2:7" x14ac:dyDescent="0.25">
      <c r="B52" s="17" t="s">
        <v>28</v>
      </c>
      <c r="C52" s="2"/>
      <c r="D52" s="18">
        <f>D50-D51</f>
        <v>11742</v>
      </c>
      <c r="E52" s="18">
        <f>E50-E51</f>
        <v>11211</v>
      </c>
      <c r="F52" s="10">
        <f t="shared" si="1"/>
        <v>0.28100926240315249</v>
      </c>
      <c r="G52" s="10">
        <f t="shared" si="1"/>
        <v>0.27626229023434612</v>
      </c>
    </row>
    <row r="53" spans="2:7" ht="17.25" x14ac:dyDescent="0.4">
      <c r="B53" s="19" t="s">
        <v>29</v>
      </c>
      <c r="C53" s="2"/>
      <c r="D53" s="48">
        <v>2745</v>
      </c>
      <c r="E53" s="11">
        <v>2645</v>
      </c>
      <c r="F53" s="10">
        <f t="shared" si="1"/>
        <v>6.5693274169362423E-2</v>
      </c>
      <c r="G53" s="10">
        <f t="shared" si="1"/>
        <v>6.5178285404499645E-2</v>
      </c>
    </row>
    <row r="54" spans="2:7" x14ac:dyDescent="0.25">
      <c r="B54" s="20" t="s">
        <v>30</v>
      </c>
      <c r="C54" s="20"/>
      <c r="D54" s="21">
        <f>D67</f>
        <v>41785.099535809015</v>
      </c>
      <c r="E54" s="21">
        <f>E67</f>
        <v>40581</v>
      </c>
      <c r="F54" s="10">
        <f t="shared" si="1"/>
        <v>1</v>
      </c>
      <c r="G54" s="10">
        <f t="shared" si="1"/>
        <v>1</v>
      </c>
    </row>
    <row r="55" spans="2:7" x14ac:dyDescent="0.25">
      <c r="B55" s="2"/>
      <c r="C55" s="2"/>
      <c r="D55" s="2"/>
      <c r="E55" s="2"/>
      <c r="F55" s="10"/>
      <c r="G55" s="10"/>
    </row>
    <row r="56" spans="2:7" x14ac:dyDescent="0.25">
      <c r="B56" s="14" t="s">
        <v>31</v>
      </c>
      <c r="C56" s="2"/>
      <c r="D56" s="15">
        <f>D12/1000</f>
        <v>1172</v>
      </c>
      <c r="E56" s="15">
        <v>1362</v>
      </c>
      <c r="F56" s="10">
        <f t="shared" si="1"/>
        <v>2.8048275893075684E-2</v>
      </c>
      <c r="G56" s="10">
        <f t="shared" si="1"/>
        <v>3.3562504620388851E-2</v>
      </c>
    </row>
    <row r="57" spans="2:7" x14ac:dyDescent="0.25">
      <c r="B57" s="14" t="s">
        <v>32</v>
      </c>
      <c r="C57" s="2"/>
      <c r="D57" s="47">
        <v>725</v>
      </c>
      <c r="E57" s="2">
        <v>565</v>
      </c>
      <c r="F57" s="10">
        <f t="shared" si="1"/>
        <v>1.7350682613037433E-2</v>
      </c>
      <c r="G57" s="10">
        <f t="shared" si="1"/>
        <v>1.3922771740469677E-2</v>
      </c>
    </row>
    <row r="58" spans="2:7" x14ac:dyDescent="0.25">
      <c r="B58" s="14" t="s">
        <v>33</v>
      </c>
      <c r="C58" s="2"/>
      <c r="D58" s="47">
        <v>245</v>
      </c>
      <c r="E58" s="2">
        <v>342</v>
      </c>
      <c r="F58" s="10">
        <f t="shared" si="1"/>
        <v>5.8633341244057535E-3</v>
      </c>
      <c r="G58" s="10">
        <f t="shared" si="1"/>
        <v>8.4275892659126193E-3</v>
      </c>
    </row>
    <row r="59" spans="2:7" ht="17.25" x14ac:dyDescent="0.4">
      <c r="B59" s="16" t="s">
        <v>34</v>
      </c>
      <c r="C59" s="2"/>
      <c r="D59" s="48">
        <v>562</v>
      </c>
      <c r="E59" s="11">
        <v>650</v>
      </c>
      <c r="F59" s="10">
        <f t="shared" si="1"/>
        <v>1.3449770522106259E-2</v>
      </c>
      <c r="G59" s="10">
        <f t="shared" si="1"/>
        <v>1.6017348020009363E-2</v>
      </c>
    </row>
    <row r="60" spans="2:7" x14ac:dyDescent="0.25">
      <c r="B60" s="17" t="s">
        <v>35</v>
      </c>
      <c r="C60" s="2"/>
      <c r="D60" s="18">
        <f>SUM(D56:D59)</f>
        <v>2704</v>
      </c>
      <c r="E60" s="18">
        <f>SUM(E56:E59)</f>
        <v>2919</v>
      </c>
      <c r="F60" s="10">
        <f t="shared" si="1"/>
        <v>6.4712063152625135E-2</v>
      </c>
      <c r="G60" s="10">
        <f t="shared" si="1"/>
        <v>7.1930213646780511E-2</v>
      </c>
    </row>
    <row r="61" spans="2:7" ht="17.25" x14ac:dyDescent="0.4">
      <c r="B61" s="16" t="s">
        <v>36</v>
      </c>
      <c r="C61" s="2"/>
      <c r="D61" s="48">
        <v>14218</v>
      </c>
      <c r="E61" s="11">
        <v>12842</v>
      </c>
      <c r="F61" s="10">
        <f t="shared" si="1"/>
        <v>0.34026483502367755</v>
      </c>
      <c r="G61" s="10">
        <f t="shared" si="1"/>
        <v>0.31645351272763117</v>
      </c>
    </row>
    <row r="62" spans="2:7" x14ac:dyDescent="0.25">
      <c r="B62" s="17" t="s">
        <v>37</v>
      </c>
      <c r="C62" s="2"/>
      <c r="D62" s="18">
        <f>D60+D61</f>
        <v>16922</v>
      </c>
      <c r="E62" s="18">
        <f>E60+E61</f>
        <v>15761</v>
      </c>
      <c r="F62" s="10">
        <f t="shared" si="1"/>
        <v>0.40497689817630267</v>
      </c>
      <c r="G62" s="10">
        <f t="shared" si="1"/>
        <v>0.38838372637441165</v>
      </c>
    </row>
    <row r="63" spans="2:7" x14ac:dyDescent="0.25">
      <c r="B63" s="14" t="s">
        <v>38</v>
      </c>
      <c r="C63" s="2"/>
      <c r="D63" s="47">
        <v>7546</v>
      </c>
      <c r="E63" s="2">
        <v>7546</v>
      </c>
      <c r="F63" s="10">
        <f t="shared" si="1"/>
        <v>0.1805906910316972</v>
      </c>
      <c r="G63" s="10">
        <f t="shared" si="1"/>
        <v>0.18594908947537026</v>
      </c>
    </row>
    <row r="64" spans="2:7" x14ac:dyDescent="0.25">
      <c r="B64" s="14" t="s">
        <v>39</v>
      </c>
      <c r="C64" s="2"/>
      <c r="D64" s="47">
        <v>5624</v>
      </c>
      <c r="E64" s="2">
        <v>5624</v>
      </c>
      <c r="F64" s="10">
        <f t="shared" si="1"/>
        <v>0.13459343312513453</v>
      </c>
      <c r="G64" s="10">
        <f t="shared" si="1"/>
        <v>0.1385870234838964</v>
      </c>
    </row>
    <row r="65" spans="2:7" ht="17.25" x14ac:dyDescent="0.4">
      <c r="B65" s="16" t="s">
        <v>40</v>
      </c>
      <c r="C65" s="2"/>
      <c r="D65" s="11">
        <f>D33-(D13*D4/1000)+E65</f>
        <v>11693.099535809019</v>
      </c>
      <c r="E65" s="11">
        <v>11650</v>
      </c>
      <c r="F65" s="10">
        <f t="shared" si="1"/>
        <v>0.27983897766686566</v>
      </c>
      <c r="G65" s="10">
        <f t="shared" si="1"/>
        <v>0.28708016066632169</v>
      </c>
    </row>
    <row r="66" spans="2:7" ht="17.25" x14ac:dyDescent="0.4">
      <c r="B66" s="22" t="s">
        <v>41</v>
      </c>
      <c r="C66" s="2"/>
      <c r="D66" s="23">
        <f>D63+D64+D65</f>
        <v>24863.099535809019</v>
      </c>
      <c r="E66" s="23">
        <f>E63+E64+E65</f>
        <v>24820</v>
      </c>
      <c r="F66" s="10">
        <f t="shared" si="1"/>
        <v>0.59502310182369744</v>
      </c>
      <c r="G66" s="10">
        <f t="shared" si="1"/>
        <v>0.61161627362558835</v>
      </c>
    </row>
    <row r="67" spans="2:7" x14ac:dyDescent="0.25">
      <c r="B67" s="20" t="s">
        <v>42</v>
      </c>
      <c r="C67" s="20"/>
      <c r="D67" s="21">
        <f>D66+D62</f>
        <v>41785.099535809015</v>
      </c>
      <c r="E67" s="21">
        <f>E66+E62</f>
        <v>40581</v>
      </c>
      <c r="F67" s="10">
        <f t="shared" si="1"/>
        <v>1</v>
      </c>
      <c r="G67" s="10">
        <f t="shared" si="1"/>
        <v>1</v>
      </c>
    </row>
    <row r="68" spans="2:7" ht="15.75" thickBot="1" x14ac:dyDescent="0.3">
      <c r="B68" s="24"/>
      <c r="C68" s="24"/>
      <c r="D68" s="25"/>
      <c r="E68" s="25"/>
    </row>
    <row r="69" spans="2:7" ht="18.75" x14ac:dyDescent="0.3">
      <c r="B69" s="144" t="s">
        <v>43</v>
      </c>
      <c r="C69" s="144"/>
      <c r="D69" s="144"/>
      <c r="E69" s="144"/>
    </row>
    <row r="70" spans="2:7" ht="19.5" thickBot="1" x14ac:dyDescent="0.35">
      <c r="B70" s="145" t="s">
        <v>11</v>
      </c>
      <c r="C70" s="145"/>
      <c r="D70" s="145"/>
      <c r="E70" s="145"/>
    </row>
    <row r="72" spans="2:7" ht="17.25" x14ac:dyDescent="0.4">
      <c r="D72" s="146" t="s">
        <v>207</v>
      </c>
      <c r="E72" s="146"/>
    </row>
    <row r="73" spans="2:7" ht="15.75" x14ac:dyDescent="0.25">
      <c r="B73" s="26" t="s">
        <v>44</v>
      </c>
      <c r="C73" s="2"/>
      <c r="D73" s="2"/>
    </row>
    <row r="74" spans="2:7" x14ac:dyDescent="0.25">
      <c r="B74" s="14" t="s">
        <v>45</v>
      </c>
      <c r="C74" s="2"/>
      <c r="D74" s="2"/>
    </row>
    <row r="75" spans="2:7" x14ac:dyDescent="0.25">
      <c r="B75" s="14" t="s">
        <v>46</v>
      </c>
      <c r="C75" s="2"/>
    </row>
    <row r="76" spans="2:7" x14ac:dyDescent="0.25">
      <c r="B76" s="14" t="s">
        <v>47</v>
      </c>
      <c r="C76" s="2"/>
      <c r="D76" s="46">
        <f>E45-D45</f>
        <v>50</v>
      </c>
    </row>
    <row r="77" spans="2:7" x14ac:dyDescent="0.25">
      <c r="B77" s="14" t="s">
        <v>48</v>
      </c>
      <c r="C77" s="2"/>
    </row>
    <row r="78" spans="2:7" x14ac:dyDescent="0.25">
      <c r="B78" s="14" t="s">
        <v>49</v>
      </c>
      <c r="C78" s="2"/>
      <c r="D78" s="46">
        <f>E47-D47</f>
        <v>141</v>
      </c>
    </row>
    <row r="79" spans="2:7" x14ac:dyDescent="0.25">
      <c r="B79" s="14" t="s">
        <v>50</v>
      </c>
      <c r="C79" s="2"/>
    </row>
    <row r="80" spans="2:7" x14ac:dyDescent="0.25">
      <c r="B80" s="14" t="s">
        <v>51</v>
      </c>
      <c r="C80" s="2"/>
    </row>
    <row r="81" spans="2:4" ht="17.25" x14ac:dyDescent="0.4">
      <c r="B81" s="16" t="s">
        <v>52</v>
      </c>
      <c r="C81" s="2"/>
      <c r="D81" s="46">
        <f>D59-E59</f>
        <v>-88</v>
      </c>
    </row>
    <row r="82" spans="2:4" x14ac:dyDescent="0.25">
      <c r="B82" s="17" t="s">
        <v>53</v>
      </c>
      <c r="C82" s="17"/>
      <c r="D82" s="17"/>
    </row>
    <row r="83" spans="2:4" x14ac:dyDescent="0.25">
      <c r="B83" s="2"/>
      <c r="C83" s="2"/>
      <c r="D83" s="2"/>
    </row>
    <row r="84" spans="2:4" x14ac:dyDescent="0.25">
      <c r="B84" s="17" t="s">
        <v>54</v>
      </c>
      <c r="C84" s="2"/>
      <c r="D84" s="2"/>
    </row>
    <row r="85" spans="2:4" x14ac:dyDescent="0.25">
      <c r="B85" s="14" t="s">
        <v>55</v>
      </c>
      <c r="C85" s="2"/>
    </row>
    <row r="86" spans="2:4" ht="17.25" x14ac:dyDescent="0.4">
      <c r="B86" s="16" t="s">
        <v>56</v>
      </c>
      <c r="C86" s="2"/>
      <c r="D86" s="46">
        <f>E53-D53</f>
        <v>-100</v>
      </c>
    </row>
    <row r="87" spans="2:4" x14ac:dyDescent="0.25">
      <c r="B87" s="17" t="s">
        <v>57</v>
      </c>
      <c r="C87" s="17"/>
      <c r="D87" s="17"/>
    </row>
    <row r="88" spans="2:4" x14ac:dyDescent="0.25">
      <c r="B88" s="2"/>
      <c r="C88" s="2"/>
    </row>
    <row r="89" spans="2:4" x14ac:dyDescent="0.25">
      <c r="B89" s="17" t="s">
        <v>58</v>
      </c>
      <c r="C89" s="2"/>
      <c r="D89" s="2"/>
    </row>
    <row r="90" spans="2:4" x14ac:dyDescent="0.25">
      <c r="B90" s="14" t="s">
        <v>98</v>
      </c>
      <c r="C90" s="2"/>
      <c r="D90" s="46">
        <f>D57-E57</f>
        <v>160</v>
      </c>
    </row>
    <row r="91" spans="2:4" x14ac:dyDescent="0.25">
      <c r="B91" s="14" t="s">
        <v>59</v>
      </c>
      <c r="C91" s="2"/>
    </row>
    <row r="92" spans="2:4" x14ac:dyDescent="0.25">
      <c r="B92" s="14" t="s">
        <v>60</v>
      </c>
      <c r="C92" s="2"/>
    </row>
    <row r="93" spans="2:4" x14ac:dyDescent="0.25">
      <c r="B93" s="14" t="s">
        <v>61</v>
      </c>
      <c r="C93" s="2"/>
      <c r="D93" s="17"/>
    </row>
    <row r="94" spans="2:4" ht="17.25" x14ac:dyDescent="0.4">
      <c r="B94" s="16" t="s">
        <v>62</v>
      </c>
      <c r="C94" s="2"/>
      <c r="D94" s="46">
        <f>-D13*D4/1000</f>
        <v>-346.875</v>
      </c>
    </row>
    <row r="95" spans="2:4" x14ac:dyDescent="0.25">
      <c r="B95" s="17" t="s">
        <v>63</v>
      </c>
      <c r="C95" s="2"/>
      <c r="D95" s="17"/>
    </row>
    <row r="96" spans="2:4" x14ac:dyDescent="0.25">
      <c r="B96" s="2"/>
      <c r="C96" s="2"/>
      <c r="D96" s="2"/>
    </row>
    <row r="97" spans="2:4" x14ac:dyDescent="0.25">
      <c r="B97" s="20" t="s">
        <v>64</v>
      </c>
      <c r="C97" s="20"/>
      <c r="D97" s="20"/>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9:T55"/>
  <sheetViews>
    <sheetView zoomScale="130" zoomScaleNormal="130" workbookViewId="0"/>
  </sheetViews>
  <sheetFormatPr defaultRowHeight="15" x14ac:dyDescent="0.25"/>
  <cols>
    <col min="2" max="2" width="33.42578125" customWidth="1"/>
    <col min="3" max="4" width="10.42578125" customWidth="1"/>
    <col min="5" max="8" width="9.85546875" customWidth="1"/>
    <col min="9" max="9" width="11.5703125" customWidth="1"/>
    <col min="10" max="11" width="9.85546875" customWidth="1"/>
    <col min="12" max="12" width="11.5703125" customWidth="1"/>
    <col min="13" max="14" width="9.85546875" customWidth="1"/>
  </cols>
  <sheetData>
    <row r="19" spans="2:20" ht="15.75" thickBot="1" x14ac:dyDescent="0.3"/>
    <row r="20" spans="2:20" ht="22.5" customHeight="1" thickBot="1" x14ac:dyDescent="0.3">
      <c r="B20" s="149" t="s">
        <v>93</v>
      </c>
      <c r="C20" s="150"/>
      <c r="D20" s="150"/>
      <c r="E20" s="150"/>
      <c r="F20" s="150"/>
      <c r="G20" s="150"/>
      <c r="H20" s="150"/>
      <c r="I20" s="150"/>
      <c r="J20" s="150"/>
      <c r="K20" s="150"/>
      <c r="L20" s="150"/>
      <c r="M20" s="150"/>
      <c r="N20" s="151"/>
    </row>
    <row r="21" spans="2:20" ht="15.75" thickBot="1" x14ac:dyDescent="0.3"/>
    <row r="22" spans="2:20" ht="15.75" thickBot="1" x14ac:dyDescent="0.3">
      <c r="B22" s="29" t="s">
        <v>99</v>
      </c>
      <c r="C22" s="4"/>
      <c r="F22" s="40">
        <v>0.35</v>
      </c>
      <c r="H22" s="29" t="s">
        <v>100</v>
      </c>
      <c r="L22" s="39">
        <v>225000</v>
      </c>
    </row>
    <row r="23" spans="2:20" ht="15.75" thickBot="1" x14ac:dyDescent="0.3">
      <c r="B23" s="29" t="s">
        <v>101</v>
      </c>
      <c r="C23" s="4"/>
      <c r="F23" s="40">
        <v>0.5</v>
      </c>
      <c r="T23" t="s">
        <v>78</v>
      </c>
    </row>
    <row r="24" spans="2:20" ht="15.75" thickBot="1" x14ac:dyDescent="0.3">
      <c r="B24" s="29" t="s">
        <v>102</v>
      </c>
      <c r="C24" s="4"/>
      <c r="F24" s="40">
        <v>0.15</v>
      </c>
      <c r="H24" s="29" t="s">
        <v>103</v>
      </c>
      <c r="L24" s="34" t="s">
        <v>129</v>
      </c>
      <c r="T24" t="s">
        <v>128</v>
      </c>
    </row>
    <row r="25" spans="2:20" ht="15.75" thickBot="1" x14ac:dyDescent="0.3">
      <c r="B25" s="32"/>
      <c r="C25" s="4"/>
      <c r="T25" t="s">
        <v>129</v>
      </c>
    </row>
    <row r="26" spans="2:20" ht="15.75" thickBot="1" x14ac:dyDescent="0.3">
      <c r="B26" s="29" t="s">
        <v>104</v>
      </c>
      <c r="C26" s="4"/>
      <c r="F26" s="40">
        <v>0.25</v>
      </c>
      <c r="H26" s="29" t="s">
        <v>94</v>
      </c>
      <c r="L26" s="39">
        <v>25000</v>
      </c>
      <c r="T26" t="s">
        <v>130</v>
      </c>
    </row>
    <row r="27" spans="2:20" x14ac:dyDescent="0.25">
      <c r="C27" s="4"/>
    </row>
    <row r="28" spans="2:20" ht="17.25" x14ac:dyDescent="0.4">
      <c r="B28" s="32"/>
      <c r="C28" s="38" t="s">
        <v>74</v>
      </c>
      <c r="D28" s="38" t="s">
        <v>75</v>
      </c>
      <c r="E28" s="38" t="s">
        <v>76</v>
      </c>
      <c r="F28" s="38" t="s">
        <v>77</v>
      </c>
      <c r="G28" s="38" t="s">
        <v>78</v>
      </c>
      <c r="H28" s="38" t="s">
        <v>79</v>
      </c>
      <c r="I28" s="38" t="s">
        <v>80</v>
      </c>
      <c r="J28" s="38" t="s">
        <v>81</v>
      </c>
      <c r="K28" s="38" t="s">
        <v>82</v>
      </c>
      <c r="L28" s="38" t="s">
        <v>83</v>
      </c>
      <c r="M28" s="38" t="s">
        <v>84</v>
      </c>
      <c r="N28" s="38" t="s">
        <v>85</v>
      </c>
    </row>
    <row r="29" spans="2:20" x14ac:dyDescent="0.25">
      <c r="B29" s="29" t="s">
        <v>105</v>
      </c>
      <c r="C29" s="41">
        <v>11750</v>
      </c>
      <c r="D29" s="41">
        <v>12640</v>
      </c>
      <c r="E29" s="41">
        <v>13650</v>
      </c>
      <c r="F29" s="4">
        <v>16980</v>
      </c>
      <c r="G29" s="4">
        <v>15460</v>
      </c>
      <c r="H29" s="4">
        <v>17255</v>
      </c>
      <c r="I29" s="4">
        <v>15420</v>
      </c>
      <c r="J29" s="4">
        <v>14290</v>
      </c>
      <c r="K29" s="4">
        <v>16920</v>
      </c>
      <c r="L29" s="4">
        <v>13460</v>
      </c>
      <c r="M29" s="4">
        <v>17950</v>
      </c>
      <c r="N29" s="4">
        <v>21265</v>
      </c>
    </row>
    <row r="30" spans="2:20" x14ac:dyDescent="0.25">
      <c r="C30" s="4"/>
      <c r="D30" s="4"/>
      <c r="E30" s="4"/>
      <c r="F30" s="4"/>
      <c r="G30" s="4"/>
      <c r="H30" s="4"/>
      <c r="I30" s="4"/>
      <c r="J30" s="4"/>
      <c r="K30" s="4"/>
      <c r="L30" s="4"/>
      <c r="M30" s="4"/>
      <c r="N30" s="4"/>
    </row>
    <row r="31" spans="2:20" x14ac:dyDescent="0.25">
      <c r="B31" s="32" t="s">
        <v>106</v>
      </c>
      <c r="C31" s="4"/>
      <c r="D31" s="4"/>
      <c r="E31" s="4"/>
      <c r="F31" s="43">
        <f t="shared" ref="F31:N31" si="0">F29*Collect0+E29*Collect1+D29*Collect2</f>
        <v>14664</v>
      </c>
      <c r="G31" s="43">
        <f t="shared" si="0"/>
        <v>15948.5</v>
      </c>
      <c r="H31" s="43">
        <f t="shared" si="0"/>
        <v>16316.25</v>
      </c>
      <c r="I31" s="43">
        <f t="shared" si="0"/>
        <v>16343.5</v>
      </c>
      <c r="J31" s="43">
        <f t="shared" si="0"/>
        <v>15299.75</v>
      </c>
      <c r="K31" s="43">
        <f t="shared" si="0"/>
        <v>15380</v>
      </c>
      <c r="L31" s="43">
        <f t="shared" si="0"/>
        <v>15314.5</v>
      </c>
      <c r="M31" s="43">
        <f t="shared" si="0"/>
        <v>15550.5</v>
      </c>
      <c r="N31" s="43">
        <f t="shared" si="0"/>
        <v>18436.75</v>
      </c>
    </row>
    <row r="32" spans="2:20" x14ac:dyDescent="0.25">
      <c r="B32" s="32"/>
      <c r="C32" s="4"/>
      <c r="D32" s="4"/>
      <c r="E32" s="4"/>
      <c r="F32" s="4"/>
      <c r="G32" s="4"/>
      <c r="H32" s="4"/>
      <c r="I32" s="4"/>
      <c r="J32" s="4"/>
      <c r="K32" s="4"/>
      <c r="L32" s="4"/>
      <c r="M32" s="4"/>
      <c r="N32" s="4"/>
    </row>
    <row r="33" spans="2:15" x14ac:dyDescent="0.25">
      <c r="B33" s="32" t="s">
        <v>107</v>
      </c>
      <c r="C33" s="4"/>
      <c r="D33" s="4"/>
      <c r="E33" s="4"/>
      <c r="F33" s="43">
        <f>F29*$F$26</f>
        <v>4245</v>
      </c>
      <c r="G33" s="43">
        <f t="shared" ref="G33:N33" si="1">G29*$F$26</f>
        <v>3865</v>
      </c>
      <c r="H33" s="43">
        <f t="shared" si="1"/>
        <v>4313.75</v>
      </c>
      <c r="I33" s="43">
        <f t="shared" si="1"/>
        <v>3855</v>
      </c>
      <c r="J33" s="43">
        <f t="shared" si="1"/>
        <v>3572.5</v>
      </c>
      <c r="K33" s="43">
        <f t="shared" si="1"/>
        <v>4230</v>
      </c>
      <c r="L33" s="43">
        <f t="shared" si="1"/>
        <v>3365</v>
      </c>
      <c r="M33" s="43">
        <f t="shared" si="1"/>
        <v>4487.5</v>
      </c>
      <c r="N33" s="43">
        <f t="shared" si="1"/>
        <v>5316.25</v>
      </c>
    </row>
    <row r="34" spans="2:15" x14ac:dyDescent="0.25">
      <c r="B34" s="32" t="s">
        <v>3</v>
      </c>
      <c r="C34" s="4"/>
      <c r="D34" s="4"/>
      <c r="E34" s="4"/>
      <c r="F34" s="41">
        <v>3000</v>
      </c>
      <c r="G34" s="41">
        <v>3000</v>
      </c>
      <c r="H34" s="41">
        <v>3000</v>
      </c>
      <c r="I34" s="41">
        <v>3000</v>
      </c>
      <c r="J34" s="41">
        <v>3000</v>
      </c>
      <c r="K34" s="41">
        <v>3000</v>
      </c>
      <c r="L34" s="41">
        <v>3000</v>
      </c>
      <c r="M34" s="41">
        <v>3000</v>
      </c>
      <c r="N34" s="41">
        <v>3000</v>
      </c>
    </row>
    <row r="35" spans="2:15" x14ac:dyDescent="0.25">
      <c r="B35" s="32" t="s">
        <v>96</v>
      </c>
      <c r="C35" s="4"/>
      <c r="D35" s="4"/>
      <c r="E35" s="4"/>
      <c r="F35" s="41">
        <v>1250</v>
      </c>
      <c r="G35" s="41">
        <v>0</v>
      </c>
      <c r="H35" s="41">
        <v>0</v>
      </c>
      <c r="I35" s="41">
        <v>1250</v>
      </c>
      <c r="J35" s="41">
        <v>0</v>
      </c>
      <c r="K35" s="41">
        <v>0</v>
      </c>
      <c r="L35" s="41">
        <v>1250</v>
      </c>
      <c r="M35" s="41">
        <v>0</v>
      </c>
      <c r="N35" s="41">
        <v>0</v>
      </c>
    </row>
    <row r="36" spans="2:15" x14ac:dyDescent="0.25">
      <c r="B36" s="32" t="s">
        <v>108</v>
      </c>
      <c r="C36" s="4"/>
      <c r="D36" s="4"/>
      <c r="E36" s="4"/>
      <c r="F36" s="41">
        <v>0</v>
      </c>
      <c r="G36" s="43">
        <f>IF($L$24="May",$L$22,0)</f>
        <v>0</v>
      </c>
      <c r="H36" s="43">
        <f>IF($L$24="June",$L$22,0)</f>
        <v>0</v>
      </c>
      <c r="I36" s="43">
        <f>IF($L$24="July",$L$22,0)</f>
        <v>225000</v>
      </c>
      <c r="J36" s="43">
        <f>IF($L$24="August",$L$22,0)</f>
        <v>0</v>
      </c>
      <c r="K36" s="41">
        <v>0</v>
      </c>
      <c r="L36" s="41">
        <v>0</v>
      </c>
      <c r="M36" s="41">
        <v>0</v>
      </c>
      <c r="N36" s="41">
        <v>0</v>
      </c>
    </row>
    <row r="37" spans="2:15" ht="17.25" x14ac:dyDescent="0.4">
      <c r="B37" s="44" t="s">
        <v>97</v>
      </c>
      <c r="C37" s="4"/>
      <c r="D37" s="4"/>
      <c r="E37" s="4"/>
      <c r="F37" s="42">
        <v>850</v>
      </c>
      <c r="G37" s="42">
        <v>0</v>
      </c>
      <c r="H37" s="42">
        <v>0</v>
      </c>
      <c r="I37" s="42">
        <v>980</v>
      </c>
      <c r="J37" s="42">
        <v>0</v>
      </c>
      <c r="K37" s="42">
        <v>0</v>
      </c>
      <c r="L37" s="42">
        <v>1025</v>
      </c>
      <c r="M37" s="42">
        <v>0</v>
      </c>
      <c r="N37" s="42">
        <v>0</v>
      </c>
    </row>
    <row r="38" spans="2:15" x14ac:dyDescent="0.25">
      <c r="B38" s="32" t="s">
        <v>109</v>
      </c>
      <c r="C38" s="4"/>
      <c r="D38" s="4"/>
      <c r="E38" s="4"/>
      <c r="F38" s="41">
        <f>SUM(F33:F37)</f>
        <v>9345</v>
      </c>
      <c r="G38" s="41">
        <f t="shared" ref="G38:N38" si="2">SUM(G33:G37)</f>
        <v>6865</v>
      </c>
      <c r="H38" s="41">
        <f t="shared" si="2"/>
        <v>7313.75</v>
      </c>
      <c r="I38" s="41">
        <f t="shared" si="2"/>
        <v>234085</v>
      </c>
      <c r="J38" s="41">
        <f t="shared" si="2"/>
        <v>6572.5</v>
      </c>
      <c r="K38" s="41">
        <f t="shared" si="2"/>
        <v>7230</v>
      </c>
      <c r="L38" s="41">
        <f t="shared" si="2"/>
        <v>8640</v>
      </c>
      <c r="M38" s="41">
        <f t="shared" si="2"/>
        <v>7487.5</v>
      </c>
      <c r="N38" s="41">
        <f t="shared" si="2"/>
        <v>8316.25</v>
      </c>
    </row>
    <row r="39" spans="2:15" ht="15.75" thickBot="1" x14ac:dyDescent="0.3">
      <c r="B39" s="28"/>
      <c r="C39" s="28"/>
      <c r="D39" s="28"/>
      <c r="E39" s="28"/>
      <c r="F39" s="28"/>
      <c r="G39" s="28"/>
      <c r="H39" s="28"/>
      <c r="I39" s="28"/>
      <c r="J39" s="28"/>
      <c r="K39" s="28"/>
      <c r="L39" s="28"/>
      <c r="M39" s="28"/>
      <c r="N39" s="28"/>
    </row>
    <row r="40" spans="2:15" ht="21.6" customHeight="1" thickBot="1" x14ac:dyDescent="0.3">
      <c r="B40" s="152" t="s">
        <v>95</v>
      </c>
      <c r="C40" s="152"/>
      <c r="D40" s="152"/>
      <c r="E40" s="152"/>
      <c r="F40" s="152"/>
      <c r="G40" s="152"/>
      <c r="H40" s="152"/>
      <c r="I40" s="152"/>
      <c r="J40" s="152"/>
      <c r="K40" s="152"/>
      <c r="L40" s="152"/>
      <c r="M40" s="152"/>
      <c r="N40" s="152"/>
    </row>
    <row r="41" spans="2:15" ht="21.6" customHeight="1" thickBot="1" x14ac:dyDescent="0.3">
      <c r="B41" s="36"/>
      <c r="C41" s="37"/>
      <c r="D41" s="37"/>
      <c r="E41" s="37" t="s">
        <v>76</v>
      </c>
      <c r="F41" s="37" t="s">
        <v>77</v>
      </c>
      <c r="G41" s="37" t="s">
        <v>78</v>
      </c>
      <c r="H41" s="37" t="s">
        <v>79</v>
      </c>
      <c r="I41" s="37" t="s">
        <v>80</v>
      </c>
      <c r="J41" s="37" t="s">
        <v>81</v>
      </c>
      <c r="K41" s="37" t="s">
        <v>82</v>
      </c>
      <c r="L41" s="37" t="s">
        <v>83</v>
      </c>
      <c r="M41" s="37" t="s">
        <v>84</v>
      </c>
      <c r="N41" s="37" t="s">
        <v>85</v>
      </c>
      <c r="O41" s="35"/>
    </row>
    <row r="42" spans="2:15" ht="19.5" customHeight="1" x14ac:dyDescent="0.25">
      <c r="B42" s="29" t="s">
        <v>86</v>
      </c>
      <c r="C42" s="29"/>
      <c r="D42" s="29"/>
      <c r="E42" s="29"/>
      <c r="F42" s="29">
        <f>E46</f>
        <v>30000</v>
      </c>
      <c r="G42" s="29">
        <f t="shared" ref="G42:N42" si="3">F46</f>
        <v>25000</v>
      </c>
      <c r="H42" s="29">
        <f t="shared" si="3"/>
        <v>25000</v>
      </c>
      <c r="I42" s="29">
        <f t="shared" si="3"/>
        <v>25000</v>
      </c>
      <c r="J42" s="29">
        <f t="shared" si="3"/>
        <v>25000</v>
      </c>
      <c r="K42" s="29">
        <f t="shared" si="3"/>
        <v>25000</v>
      </c>
      <c r="L42" s="29">
        <f t="shared" si="3"/>
        <v>25000</v>
      </c>
      <c r="M42" s="29">
        <f t="shared" si="3"/>
        <v>25000</v>
      </c>
      <c r="N42" s="29">
        <f t="shared" si="3"/>
        <v>25000</v>
      </c>
    </row>
    <row r="43" spans="2:15" ht="17.25" x14ac:dyDescent="0.4">
      <c r="B43" s="30" t="s">
        <v>87</v>
      </c>
      <c r="C43" s="31"/>
      <c r="D43" s="31"/>
      <c r="E43" s="31"/>
      <c r="F43" s="31">
        <f>F31-F38</f>
        <v>5319</v>
      </c>
      <c r="G43" s="31">
        <f t="shared" ref="G43:N43" si="4">G31-G38</f>
        <v>9083.5</v>
      </c>
      <c r="H43" s="31">
        <f t="shared" si="4"/>
        <v>9002.5</v>
      </c>
      <c r="I43" s="31">
        <f t="shared" si="4"/>
        <v>-217741.5</v>
      </c>
      <c r="J43" s="31">
        <f t="shared" si="4"/>
        <v>8727.25</v>
      </c>
      <c r="K43" s="31">
        <f t="shared" si="4"/>
        <v>8150</v>
      </c>
      <c r="L43" s="31">
        <f t="shared" si="4"/>
        <v>6674.5</v>
      </c>
      <c r="M43" s="31">
        <f t="shared" si="4"/>
        <v>8063</v>
      </c>
      <c r="N43" s="31">
        <f t="shared" si="4"/>
        <v>10120.5</v>
      </c>
    </row>
    <row r="44" spans="2:15" x14ac:dyDescent="0.25">
      <c r="B44" s="32" t="s">
        <v>88</v>
      </c>
      <c r="C44" s="32"/>
      <c r="D44" s="32"/>
      <c r="E44" s="32"/>
      <c r="F44" s="32">
        <f>F42+F43</f>
        <v>35319</v>
      </c>
      <c r="G44" s="32">
        <f t="shared" ref="G44:N44" si="5">G42+G43</f>
        <v>34083.5</v>
      </c>
      <c r="H44" s="32">
        <f t="shared" si="5"/>
        <v>34002.5</v>
      </c>
      <c r="I44" s="32">
        <f t="shared" si="5"/>
        <v>-192741.5</v>
      </c>
      <c r="J44" s="32">
        <f t="shared" si="5"/>
        <v>33727.25</v>
      </c>
      <c r="K44" s="32">
        <f t="shared" si="5"/>
        <v>33150</v>
      </c>
      <c r="L44" s="32">
        <f t="shared" si="5"/>
        <v>31674.5</v>
      </c>
      <c r="M44" s="32">
        <f t="shared" si="5"/>
        <v>33063</v>
      </c>
      <c r="N44" s="32">
        <f t="shared" si="5"/>
        <v>35120.5</v>
      </c>
      <c r="O44" s="32"/>
    </row>
    <row r="45" spans="2:15" ht="17.25" x14ac:dyDescent="0.4">
      <c r="B45" s="30" t="s">
        <v>89</v>
      </c>
      <c r="C45" s="31"/>
      <c r="D45" s="31"/>
      <c r="E45" s="31"/>
      <c r="F45" s="31">
        <f>F46-F44</f>
        <v>-10319</v>
      </c>
      <c r="G45" s="31">
        <f t="shared" ref="G45:N45" si="6">G46-G44</f>
        <v>-9083.5</v>
      </c>
      <c r="H45" s="31">
        <f t="shared" si="6"/>
        <v>-9002.5</v>
      </c>
      <c r="I45" s="31">
        <f t="shared" si="6"/>
        <v>217741.5</v>
      </c>
      <c r="J45" s="31">
        <f t="shared" si="6"/>
        <v>-8727.25</v>
      </c>
      <c r="K45" s="31">
        <f t="shared" si="6"/>
        <v>-8150</v>
      </c>
      <c r="L45" s="31">
        <f t="shared" si="6"/>
        <v>-6674.5</v>
      </c>
      <c r="M45" s="31">
        <f t="shared" si="6"/>
        <v>-8063</v>
      </c>
      <c r="N45" s="31">
        <f t="shared" si="6"/>
        <v>-10120.5</v>
      </c>
    </row>
    <row r="46" spans="2:15" x14ac:dyDescent="0.25">
      <c r="B46" s="32" t="s">
        <v>90</v>
      </c>
      <c r="C46" s="32"/>
      <c r="D46" s="32"/>
      <c r="E46" s="32">
        <v>30000</v>
      </c>
      <c r="F46" s="32">
        <f>L26</f>
        <v>25000</v>
      </c>
      <c r="G46" s="32">
        <f>F46</f>
        <v>25000</v>
      </c>
      <c r="H46" s="32">
        <f t="shared" ref="H46:N46" si="7">G46</f>
        <v>25000</v>
      </c>
      <c r="I46" s="32">
        <f t="shared" si="7"/>
        <v>25000</v>
      </c>
      <c r="J46" s="32">
        <f t="shared" si="7"/>
        <v>25000</v>
      </c>
      <c r="K46" s="32">
        <f t="shared" si="7"/>
        <v>25000</v>
      </c>
      <c r="L46" s="32">
        <f t="shared" si="7"/>
        <v>25000</v>
      </c>
      <c r="M46" s="32">
        <f t="shared" si="7"/>
        <v>25000</v>
      </c>
      <c r="N46" s="32">
        <f t="shared" si="7"/>
        <v>25000</v>
      </c>
      <c r="O46" s="32"/>
    </row>
    <row r="47" spans="2:15" ht="6.95" customHeight="1" thickBot="1" x14ac:dyDescent="0.3">
      <c r="B47" s="28"/>
      <c r="C47" s="28"/>
      <c r="D47" s="28"/>
      <c r="E47" s="28"/>
      <c r="F47" s="28"/>
      <c r="G47" s="28"/>
      <c r="H47" s="28"/>
      <c r="I47" s="28"/>
      <c r="J47" s="28"/>
      <c r="K47" s="28"/>
      <c r="L47" s="28"/>
      <c r="M47" s="28"/>
      <c r="N47" s="28"/>
    </row>
    <row r="48" spans="2:15" ht="17.25" x14ac:dyDescent="0.4">
      <c r="B48" s="33" t="s">
        <v>131</v>
      </c>
      <c r="C48" s="32"/>
      <c r="D48" s="32"/>
      <c r="E48" s="29"/>
      <c r="F48" s="29">
        <f>F45</f>
        <v>-10319</v>
      </c>
      <c r="G48" s="29">
        <f>F48+G45</f>
        <v>-19402.5</v>
      </c>
      <c r="H48" s="29">
        <f t="shared" ref="H48:N48" si="8">G48+H45</f>
        <v>-28405</v>
      </c>
      <c r="I48" s="29">
        <f t="shared" si="8"/>
        <v>189336.5</v>
      </c>
      <c r="J48" s="29">
        <f t="shared" si="8"/>
        <v>180609.25</v>
      </c>
      <c r="K48" s="29">
        <f t="shared" si="8"/>
        <v>172459.25</v>
      </c>
      <c r="L48" s="29">
        <f t="shared" si="8"/>
        <v>165784.75</v>
      </c>
      <c r="M48" s="29">
        <f t="shared" si="8"/>
        <v>157721.75</v>
      </c>
      <c r="N48" s="29">
        <f t="shared" si="8"/>
        <v>147601.25</v>
      </c>
      <c r="O48" s="31"/>
    </row>
    <row r="49" spans="2:14" ht="15.75" thickBot="1" x14ac:dyDescent="0.3">
      <c r="B49" s="28"/>
      <c r="C49" s="28"/>
      <c r="D49" s="28"/>
      <c r="E49" s="29"/>
      <c r="F49" s="29"/>
      <c r="G49" s="29"/>
      <c r="H49" s="29"/>
      <c r="I49" s="29"/>
      <c r="J49" s="29"/>
      <c r="K49" s="29"/>
      <c r="L49" s="29"/>
      <c r="M49" s="29"/>
      <c r="N49" s="29"/>
    </row>
    <row r="50" spans="2:14" ht="19.5" thickBot="1" x14ac:dyDescent="0.3">
      <c r="B50" s="152" t="s">
        <v>110</v>
      </c>
      <c r="C50" s="152"/>
      <c r="D50" s="152"/>
      <c r="E50" s="152"/>
      <c r="F50" s="152"/>
      <c r="G50" s="152"/>
      <c r="H50" s="152"/>
      <c r="I50" s="152"/>
      <c r="J50" s="152"/>
      <c r="K50" s="152"/>
      <c r="L50" s="152"/>
      <c r="M50" s="152"/>
      <c r="N50" s="152"/>
    </row>
    <row r="51" spans="2:14" ht="15.75" thickBot="1" x14ac:dyDescent="0.3">
      <c r="B51" s="36"/>
      <c r="C51" s="37"/>
      <c r="D51" s="37"/>
      <c r="E51" s="37" t="s">
        <v>76</v>
      </c>
      <c r="F51" s="37" t="s">
        <v>77</v>
      </c>
      <c r="G51" s="37" t="s">
        <v>78</v>
      </c>
      <c r="H51" s="37" t="s">
        <v>79</v>
      </c>
      <c r="I51" s="37" t="s">
        <v>80</v>
      </c>
      <c r="J51" s="37" t="s">
        <v>81</v>
      </c>
      <c r="K51" s="37" t="s">
        <v>82</v>
      </c>
      <c r="L51" s="37" t="s">
        <v>83</v>
      </c>
      <c r="M51" s="37" t="s">
        <v>84</v>
      </c>
      <c r="N51" s="37" t="s">
        <v>85</v>
      </c>
    </row>
    <row r="52" spans="2:14" ht="24.95" customHeight="1" x14ac:dyDescent="0.25">
      <c r="B52" s="29" t="s">
        <v>91</v>
      </c>
      <c r="C52" s="29"/>
      <c r="D52" s="29"/>
      <c r="E52" s="29">
        <v>0</v>
      </c>
      <c r="F52" s="29">
        <f t="shared" ref="F52:N52" si="9">IF(F48&gt;0,F48,0)</f>
        <v>0</v>
      </c>
      <c r="G52" s="29">
        <f t="shared" si="9"/>
        <v>0</v>
      </c>
      <c r="H52" s="29">
        <f t="shared" si="9"/>
        <v>0</v>
      </c>
      <c r="I52" s="29">
        <f t="shared" si="9"/>
        <v>189336.5</v>
      </c>
      <c r="J52" s="29">
        <f t="shared" si="9"/>
        <v>180609.25</v>
      </c>
      <c r="K52" s="29">
        <f t="shared" si="9"/>
        <v>172459.25</v>
      </c>
      <c r="L52" s="29">
        <f t="shared" si="9"/>
        <v>165784.75</v>
      </c>
      <c r="M52" s="29">
        <f t="shared" si="9"/>
        <v>157721.75</v>
      </c>
      <c r="N52" s="29">
        <f t="shared" si="9"/>
        <v>147601.25</v>
      </c>
    </row>
    <row r="53" spans="2:14" x14ac:dyDescent="0.25">
      <c r="B53" s="29" t="s">
        <v>92</v>
      </c>
      <c r="C53" s="29"/>
      <c r="D53" s="29"/>
      <c r="E53" s="29">
        <v>0</v>
      </c>
      <c r="F53" s="29">
        <f t="shared" ref="F53:N53" si="10">IF(F48&lt;0,-F48,0)</f>
        <v>10319</v>
      </c>
      <c r="G53" s="29">
        <f t="shared" si="10"/>
        <v>19402.5</v>
      </c>
      <c r="H53" s="29">
        <f t="shared" si="10"/>
        <v>28405</v>
      </c>
      <c r="I53" s="29">
        <f t="shared" si="10"/>
        <v>0</v>
      </c>
      <c r="J53" s="29">
        <f t="shared" si="10"/>
        <v>0</v>
      </c>
      <c r="K53" s="29">
        <f t="shared" si="10"/>
        <v>0</v>
      </c>
      <c r="L53" s="29">
        <f t="shared" si="10"/>
        <v>0</v>
      </c>
      <c r="M53" s="29">
        <f t="shared" si="10"/>
        <v>0</v>
      </c>
      <c r="N53" s="29">
        <f t="shared" si="10"/>
        <v>0</v>
      </c>
    </row>
    <row r="54" spans="2:14" ht="5.45" customHeight="1" thickBot="1" x14ac:dyDescent="0.3">
      <c r="B54" s="28"/>
      <c r="C54" s="28"/>
      <c r="D54" s="28"/>
      <c r="E54" s="28"/>
      <c r="F54" s="28"/>
      <c r="G54" s="28"/>
      <c r="H54" s="28"/>
      <c r="I54" s="28"/>
      <c r="J54" s="28"/>
      <c r="K54" s="28"/>
      <c r="L54" s="28"/>
      <c r="M54" s="28"/>
      <c r="N54" s="28"/>
    </row>
    <row r="55" spans="2:14" ht="5.45" customHeight="1" thickBot="1" x14ac:dyDescent="0.3">
      <c r="B55" s="28"/>
      <c r="C55" s="28"/>
      <c r="D55" s="28"/>
      <c r="E55" s="28"/>
      <c r="F55" s="28"/>
      <c r="G55" s="28"/>
      <c r="H55" s="28"/>
      <c r="I55" s="28"/>
      <c r="J55" s="28"/>
      <c r="K55" s="28"/>
      <c r="L55" s="28"/>
      <c r="M55" s="28"/>
      <c r="N55" s="28"/>
    </row>
  </sheetData>
  <scenarios current="2" sqref="F43:N43">
    <scenario name="Goo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_x000a_Modified by Hawle">
      <inputCells r="F22" val="0.42" numFmtId="9"/>
      <inputCells r="F23" val="0.52" numFmtId="9"/>
      <inputCells r="F24" val="0.06" numFmtId="9"/>
    </scenario>
    <scenario name="Normal" locked="1" count="3" user="Hawley, Del" comment="Created by Del on 9/22/2011_x000a_Modified by Del on 6/9/2012_x000a_Modified by D Hawley on 9/22/2013_x000a_Modified by Del on 6/9/2014_x000a_Modified by Del Hawley on 2/16/2015_x000a_Modified by Del Hawley on 6/12/2016_x000a_Modified by Hawley, Del on 7/2/2018_x000a_Modified by Del Hawley on">
      <inputCells r="F22" val="0.35" numFmtId="9"/>
      <inputCells r="F23" val="0.5" numFmtId="9"/>
      <inputCells r="F24" val="0.15" numFmtId="9"/>
    </scenario>
    <scenario name="Ba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_x000a_Modified by Hawle">
      <inputCells r="F22" val="0.3" numFmtId="9"/>
      <inputCells r="F23" val="0.45" numFmtId="9"/>
      <inputCells r="F24" val="0.2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xr:uid="{00000000-0002-0000-0200-000000000000}">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heetPr>
  <dimension ref="B1:G21"/>
  <sheetViews>
    <sheetView showGridLines="0" workbookViewId="0">
      <selection activeCell="A18" sqref="A18:XFD18"/>
    </sheetView>
  </sheetViews>
  <sheetFormatPr defaultRowHeight="15" outlineLevelRow="1" outlineLevelCol="1" x14ac:dyDescent="0.25"/>
  <cols>
    <col min="3" max="3" width="8.140625" bestFit="1" customWidth="1"/>
    <col min="4" max="7" width="13.140625" bestFit="1" customWidth="1" outlineLevel="1"/>
  </cols>
  <sheetData>
    <row r="1" spans="2:7" ht="15.75" thickBot="1" x14ac:dyDescent="0.3"/>
    <row r="2" spans="2:7" ht="15.75" x14ac:dyDescent="0.25">
      <c r="B2" s="130" t="s">
        <v>147</v>
      </c>
      <c r="C2" s="130"/>
      <c r="D2" s="49"/>
      <c r="E2" s="49"/>
      <c r="F2" s="49"/>
      <c r="G2" s="49"/>
    </row>
    <row r="3" spans="2:7" ht="15.75" collapsed="1" x14ac:dyDescent="0.25">
      <c r="B3" s="129"/>
      <c r="C3" s="129"/>
      <c r="D3" s="50" t="s">
        <v>149</v>
      </c>
      <c r="E3" s="50" t="s">
        <v>144</v>
      </c>
      <c r="F3" s="50" t="s">
        <v>145</v>
      </c>
      <c r="G3" s="50" t="s">
        <v>146</v>
      </c>
    </row>
    <row r="4" spans="2:7" ht="236.25" hidden="1" outlineLevel="1" x14ac:dyDescent="0.25">
      <c r="B4" s="131"/>
      <c r="C4" s="131"/>
      <c r="D4" s="121"/>
      <c r="E4" s="127" t="s">
        <v>198</v>
      </c>
      <c r="F4" s="127" t="s">
        <v>199</v>
      </c>
      <c r="G4" s="127" t="s">
        <v>198</v>
      </c>
    </row>
    <row r="5" spans="2:7" x14ac:dyDescent="0.25">
      <c r="B5" s="132" t="s">
        <v>148</v>
      </c>
      <c r="C5" s="132"/>
      <c r="D5" s="125"/>
      <c r="E5" s="125"/>
      <c r="F5" s="125"/>
      <c r="G5" s="125"/>
    </row>
    <row r="6" spans="2:7" outlineLevel="1" x14ac:dyDescent="0.25">
      <c r="B6" s="131"/>
      <c r="C6" s="131" t="s">
        <v>132</v>
      </c>
      <c r="D6" s="122">
        <v>0.35</v>
      </c>
      <c r="E6" s="126">
        <v>0.42</v>
      </c>
      <c r="F6" s="126">
        <v>0.35</v>
      </c>
      <c r="G6" s="126">
        <v>0.3</v>
      </c>
    </row>
    <row r="7" spans="2:7" outlineLevel="1" x14ac:dyDescent="0.25">
      <c r="B7" s="131"/>
      <c r="C7" s="131" t="s">
        <v>133</v>
      </c>
      <c r="D7" s="122">
        <v>0.5</v>
      </c>
      <c r="E7" s="126">
        <v>0.52</v>
      </c>
      <c r="F7" s="126">
        <v>0.5</v>
      </c>
      <c r="G7" s="126">
        <v>0.45</v>
      </c>
    </row>
    <row r="8" spans="2:7" outlineLevel="1" x14ac:dyDescent="0.25">
      <c r="B8" s="131"/>
      <c r="C8" s="131" t="s">
        <v>134</v>
      </c>
      <c r="D8" s="122">
        <v>0.15</v>
      </c>
      <c r="E8" s="126">
        <v>0.06</v>
      </c>
      <c r="F8" s="126">
        <v>0.15</v>
      </c>
      <c r="G8" s="126">
        <v>0.25</v>
      </c>
    </row>
    <row r="9" spans="2:7" x14ac:dyDescent="0.25">
      <c r="B9" s="132" t="s">
        <v>150</v>
      </c>
      <c r="C9" s="132"/>
      <c r="D9" s="125"/>
      <c r="E9" s="125"/>
      <c r="F9" s="125"/>
      <c r="G9" s="125"/>
    </row>
    <row r="10" spans="2:7" outlineLevel="1" x14ac:dyDescent="0.25">
      <c r="B10" s="131"/>
      <c r="C10" s="131" t="s">
        <v>135</v>
      </c>
      <c r="D10" s="123">
        <v>5319</v>
      </c>
      <c r="E10" s="123">
        <v>5643</v>
      </c>
      <c r="F10" s="123">
        <v>5319</v>
      </c>
      <c r="G10" s="123">
        <v>5051.5</v>
      </c>
    </row>
    <row r="11" spans="2:7" outlineLevel="1" x14ac:dyDescent="0.25">
      <c r="B11" s="131"/>
      <c r="C11" s="131" t="s">
        <v>136</v>
      </c>
      <c r="D11" s="123">
        <v>9083.5</v>
      </c>
      <c r="E11" s="123">
        <v>9276.7999999999993</v>
      </c>
      <c r="F11" s="123">
        <v>9083.5</v>
      </c>
      <c r="G11" s="123">
        <v>8826.5</v>
      </c>
    </row>
    <row r="12" spans="2:7" outlineLevel="1" x14ac:dyDescent="0.25">
      <c r="B12" s="131"/>
      <c r="C12" s="131" t="s">
        <v>137</v>
      </c>
      <c r="D12" s="123">
        <v>9002.5</v>
      </c>
      <c r="E12" s="123">
        <v>8991.35</v>
      </c>
      <c r="F12" s="123">
        <v>9002.5</v>
      </c>
      <c r="G12" s="123">
        <v>9064.75</v>
      </c>
    </row>
    <row r="13" spans="2:7" outlineLevel="1" x14ac:dyDescent="0.25">
      <c r="B13" s="131"/>
      <c r="C13" s="131" t="s">
        <v>138</v>
      </c>
      <c r="D13" s="123">
        <v>-217741.5</v>
      </c>
      <c r="E13" s="123">
        <v>-217708.4</v>
      </c>
      <c r="F13" s="123">
        <v>-217741.5</v>
      </c>
      <c r="G13" s="123">
        <v>-217829.25</v>
      </c>
    </row>
    <row r="14" spans="2:7" outlineLevel="1" x14ac:dyDescent="0.25">
      <c r="B14" s="131"/>
      <c r="C14" s="131" t="s">
        <v>139</v>
      </c>
      <c r="D14" s="123">
        <v>8727.25</v>
      </c>
      <c r="E14" s="123">
        <v>8483</v>
      </c>
      <c r="F14" s="123">
        <v>8727.25</v>
      </c>
      <c r="G14" s="123">
        <v>8967.25</v>
      </c>
    </row>
    <row r="15" spans="2:7" outlineLevel="1" x14ac:dyDescent="0.25">
      <c r="B15" s="131"/>
      <c r="C15" s="131" t="s">
        <v>140</v>
      </c>
      <c r="D15" s="123">
        <v>8150</v>
      </c>
      <c r="E15" s="123">
        <v>8232.4</v>
      </c>
      <c r="F15" s="123">
        <v>8150</v>
      </c>
      <c r="G15" s="123">
        <v>8131.5</v>
      </c>
    </row>
    <row r="16" spans="2:7" outlineLevel="1" x14ac:dyDescent="0.25">
      <c r="B16" s="131"/>
      <c r="C16" s="131" t="s">
        <v>141</v>
      </c>
      <c r="D16" s="123">
        <v>6674.5</v>
      </c>
      <c r="E16" s="123">
        <v>6669</v>
      </c>
      <c r="F16" s="123">
        <v>6674.5</v>
      </c>
      <c r="G16" s="123">
        <v>6584.5</v>
      </c>
    </row>
    <row r="17" spans="2:7" outlineLevel="1" x14ac:dyDescent="0.25">
      <c r="B17" s="131"/>
      <c r="C17" s="131" t="s">
        <v>142</v>
      </c>
      <c r="D17" s="123">
        <v>8063</v>
      </c>
      <c r="E17" s="123">
        <v>8065.9</v>
      </c>
      <c r="F17" s="123">
        <v>8063</v>
      </c>
      <c r="G17" s="123">
        <v>8184.5</v>
      </c>
    </row>
    <row r="18" spans="2:7" ht="15.75" outlineLevel="1" thickBot="1" x14ac:dyDescent="0.3">
      <c r="B18" s="133"/>
      <c r="C18" s="133" t="s">
        <v>143</v>
      </c>
      <c r="D18" s="124">
        <v>10120.5</v>
      </c>
      <c r="E18" s="124">
        <v>10756.65</v>
      </c>
      <c r="F18" s="124">
        <v>10120.5</v>
      </c>
      <c r="G18" s="124">
        <v>9505.75</v>
      </c>
    </row>
    <row r="19" spans="2:7" x14ac:dyDescent="0.25">
      <c r="B19" t="s">
        <v>151</v>
      </c>
    </row>
    <row r="20" spans="2:7" x14ac:dyDescent="0.25">
      <c r="B20" t="s">
        <v>152</v>
      </c>
    </row>
    <row r="21" spans="2:7" x14ac:dyDescent="0.25">
      <c r="B21" t="s">
        <v>153</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J5:S7"/>
  <sheetViews>
    <sheetView zoomScale="115" zoomScaleNormal="115" workbookViewId="0">
      <selection activeCell="P24" sqref="P24"/>
    </sheetView>
  </sheetViews>
  <sheetFormatPr defaultRowHeight="15" x14ac:dyDescent="0.25"/>
  <cols>
    <col min="10" max="10" width="17.28515625" customWidth="1"/>
    <col min="11" max="19" width="12" customWidth="1"/>
  </cols>
  <sheetData>
    <row r="5" spans="10:19" x14ac:dyDescent="0.25">
      <c r="K5" t="s">
        <v>154</v>
      </c>
      <c r="L5" t="s">
        <v>155</v>
      </c>
      <c r="M5" t="s">
        <v>156</v>
      </c>
      <c r="N5" t="s">
        <v>157</v>
      </c>
      <c r="O5" t="s">
        <v>158</v>
      </c>
      <c r="P5" t="s">
        <v>159</v>
      </c>
      <c r="Q5" t="s">
        <v>160</v>
      </c>
      <c r="R5" t="s">
        <v>161</v>
      </c>
      <c r="S5" t="s">
        <v>162</v>
      </c>
    </row>
    <row r="6" spans="10:19" x14ac:dyDescent="0.25">
      <c r="J6" t="s">
        <v>164</v>
      </c>
      <c r="K6" s="29">
        <f>-'Prob 2 - 30 Pts '!F52</f>
        <v>0</v>
      </c>
      <c r="L6" s="29">
        <f>-'Prob 2 - 30 Pts '!G52</f>
        <v>0</v>
      </c>
      <c r="M6" s="29">
        <f>-'Prob 2 - 30 Pts '!H52</f>
        <v>0</v>
      </c>
      <c r="N6" s="29">
        <f>-'Prob 2 - 30 Pts '!I52</f>
        <v>-189336.5</v>
      </c>
      <c r="O6" s="29">
        <f>-'Prob 2 - 30 Pts '!J52</f>
        <v>-180609.25</v>
      </c>
      <c r="P6" s="29">
        <f>-'Prob 2 - 30 Pts '!K52</f>
        <v>-172459.25</v>
      </c>
      <c r="Q6" s="29">
        <f>-'Prob 2 - 30 Pts '!L52</f>
        <v>-165784.75</v>
      </c>
      <c r="R6" s="29">
        <f>-'Prob 2 - 30 Pts '!M52</f>
        <v>-157721.75</v>
      </c>
      <c r="S6" s="29">
        <f>-'Prob 2 - 30 Pts '!N52</f>
        <v>-147601.25</v>
      </c>
    </row>
    <row r="7" spans="10:19" x14ac:dyDescent="0.25">
      <c r="J7" t="s">
        <v>163</v>
      </c>
      <c r="K7" s="29">
        <f>'Prob 2 - 30 Pts '!F53</f>
        <v>10319</v>
      </c>
      <c r="L7" s="29">
        <f>'Prob 2 - 30 Pts '!G53</f>
        <v>19402.5</v>
      </c>
      <c r="M7" s="29">
        <f>'Prob 2 - 30 Pts '!H53</f>
        <v>28405</v>
      </c>
      <c r="N7" s="29">
        <f>'Prob 2 - 30 Pts '!I53</f>
        <v>0</v>
      </c>
      <c r="O7" s="29">
        <f>'Prob 2 - 30 Pts '!J53</f>
        <v>0</v>
      </c>
      <c r="P7" s="29">
        <f>'Prob 2 - 30 Pts '!K53</f>
        <v>0</v>
      </c>
      <c r="Q7" s="29">
        <f>'Prob 2 - 30 Pts '!L53</f>
        <v>0</v>
      </c>
      <c r="R7" s="29">
        <f>'Prob 2 - 30 Pts '!M53</f>
        <v>0</v>
      </c>
      <c r="S7" s="29">
        <f>'Prob 2 - 30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3:E33"/>
  <sheetViews>
    <sheetView zoomScale="145" zoomScaleNormal="145" workbookViewId="0">
      <selection activeCell="B37" sqref="B37"/>
    </sheetView>
  </sheetViews>
  <sheetFormatPr defaultColWidth="9.140625" defaultRowHeight="15" x14ac:dyDescent="0.25"/>
  <cols>
    <col min="1" max="1" width="9.140625" style="9"/>
    <col min="2" max="3" width="11.5703125" style="9" customWidth="1"/>
    <col min="4" max="4" width="13.7109375" style="9" customWidth="1"/>
    <col min="5" max="5" width="14.28515625" style="9" customWidth="1"/>
    <col min="6" max="16384" width="9.140625" style="9"/>
  </cols>
  <sheetData>
    <row r="3" spans="2:5" ht="86.25" customHeight="1" x14ac:dyDescent="0.25"/>
    <row r="5" spans="2:5" ht="15.75" thickBot="1" x14ac:dyDescent="0.3"/>
    <row r="6" spans="2:5" ht="52.5" customHeight="1" thickBot="1" x14ac:dyDescent="0.3">
      <c r="B6" s="86" t="s">
        <v>168</v>
      </c>
      <c r="C6" s="87" t="s">
        <v>173</v>
      </c>
      <c r="D6" s="87" t="s">
        <v>169</v>
      </c>
      <c r="E6" s="88" t="s">
        <v>170</v>
      </c>
    </row>
    <row r="7" spans="2:5" x14ac:dyDescent="0.25">
      <c r="B7" s="83">
        <v>2000</v>
      </c>
      <c r="C7" s="84">
        <v>9.44</v>
      </c>
      <c r="D7" s="85"/>
      <c r="E7" s="85"/>
    </row>
    <row r="8" spans="2:5" x14ac:dyDescent="0.25">
      <c r="B8" s="79">
        <v>2001</v>
      </c>
      <c r="C8" s="77">
        <v>9.85</v>
      </c>
      <c r="D8" s="78">
        <f>C8/C7-1</f>
        <v>4.3432203389830448E-2</v>
      </c>
      <c r="E8" s="80">
        <f>1+D8</f>
        <v>1.0434322033898304</v>
      </c>
    </row>
    <row r="9" spans="2:5" x14ac:dyDescent="0.25">
      <c r="B9" s="79">
        <v>2002</v>
      </c>
      <c r="C9" s="77">
        <v>10.25</v>
      </c>
      <c r="D9" s="78">
        <f t="shared" ref="D9:D19" si="0">C9/C8-1</f>
        <v>4.0609137055837685E-2</v>
      </c>
      <c r="E9" s="80">
        <f t="shared" ref="E9:E19" si="1">1+D9</f>
        <v>1.0406091370558377</v>
      </c>
    </row>
    <row r="10" spans="2:5" x14ac:dyDescent="0.25">
      <c r="B10" s="79">
        <v>2003</v>
      </c>
      <c r="C10" s="77">
        <v>11.75</v>
      </c>
      <c r="D10" s="78">
        <f t="shared" si="0"/>
        <v>0.14634146341463405</v>
      </c>
      <c r="E10" s="80">
        <f t="shared" si="1"/>
        <v>1.1463414634146341</v>
      </c>
    </row>
    <row r="11" spans="2:5" x14ac:dyDescent="0.25">
      <c r="B11" s="79">
        <v>2004</v>
      </c>
      <c r="C11" s="77">
        <v>6.65</v>
      </c>
      <c r="D11" s="78">
        <f t="shared" si="0"/>
        <v>-0.43404255319148932</v>
      </c>
      <c r="E11" s="80">
        <f t="shared" si="1"/>
        <v>0.56595744680851068</v>
      </c>
    </row>
    <row r="12" spans="2:5" x14ac:dyDescent="0.25">
      <c r="B12" s="79">
        <v>2005</v>
      </c>
      <c r="C12" s="77">
        <v>10.25</v>
      </c>
      <c r="D12" s="78">
        <f t="shared" si="0"/>
        <v>0.54135338345864659</v>
      </c>
      <c r="E12" s="80">
        <f t="shared" si="1"/>
        <v>1.5413533834586466</v>
      </c>
    </row>
    <row r="13" spans="2:5" x14ac:dyDescent="0.25">
      <c r="B13" s="79">
        <v>2006</v>
      </c>
      <c r="C13" s="77">
        <v>11</v>
      </c>
      <c r="D13" s="78">
        <f t="shared" si="0"/>
        <v>7.3170731707317138E-2</v>
      </c>
      <c r="E13" s="80">
        <f t="shared" si="1"/>
        <v>1.0731707317073171</v>
      </c>
    </row>
    <row r="14" spans="2:5" x14ac:dyDescent="0.25">
      <c r="B14" s="79">
        <v>2007</v>
      </c>
      <c r="C14" s="77">
        <v>12.2</v>
      </c>
      <c r="D14" s="78">
        <f t="shared" si="0"/>
        <v>0.10909090909090913</v>
      </c>
      <c r="E14" s="80">
        <f t="shared" si="1"/>
        <v>1.1090909090909091</v>
      </c>
    </row>
    <row r="15" spans="2:5" x14ac:dyDescent="0.25">
      <c r="B15" s="79">
        <v>2008</v>
      </c>
      <c r="C15" s="77">
        <v>12.95</v>
      </c>
      <c r="D15" s="78">
        <f t="shared" si="0"/>
        <v>6.1475409836065475E-2</v>
      </c>
      <c r="E15" s="80">
        <f t="shared" si="1"/>
        <v>1.0614754098360655</v>
      </c>
    </row>
    <row r="16" spans="2:5" x14ac:dyDescent="0.25">
      <c r="B16" s="79">
        <v>2009</v>
      </c>
      <c r="C16" s="77">
        <v>6.25</v>
      </c>
      <c r="D16" s="78">
        <f t="shared" si="0"/>
        <v>-0.51737451737451734</v>
      </c>
      <c r="E16" s="80">
        <f t="shared" si="1"/>
        <v>0.48262548262548266</v>
      </c>
    </row>
    <row r="17" spans="2:5" x14ac:dyDescent="0.25">
      <c r="B17" s="79">
        <v>2010</v>
      </c>
      <c r="C17" s="77">
        <v>6.5</v>
      </c>
      <c r="D17" s="78">
        <f t="shared" si="0"/>
        <v>4.0000000000000036E-2</v>
      </c>
      <c r="E17" s="80">
        <f t="shared" si="1"/>
        <v>1.04</v>
      </c>
    </row>
    <row r="18" spans="2:5" x14ac:dyDescent="0.25">
      <c r="B18" s="79">
        <v>2011</v>
      </c>
      <c r="C18" s="77">
        <v>7.85</v>
      </c>
      <c r="D18" s="78">
        <f t="shared" si="0"/>
        <v>0.20769230769230762</v>
      </c>
      <c r="E18" s="80">
        <f t="shared" si="1"/>
        <v>1.2076923076923076</v>
      </c>
    </row>
    <row r="19" spans="2:5" x14ac:dyDescent="0.25">
      <c r="B19" s="79">
        <v>2012</v>
      </c>
      <c r="C19" s="77">
        <v>8.6199999999999992</v>
      </c>
      <c r="D19" s="78">
        <f t="shared" si="0"/>
        <v>9.8089171974522271E-2</v>
      </c>
      <c r="E19" s="80">
        <f t="shared" si="1"/>
        <v>1.0980891719745223</v>
      </c>
    </row>
    <row r="20" spans="2:5" x14ac:dyDescent="0.25">
      <c r="B20" s="111">
        <v>2013</v>
      </c>
      <c r="C20" s="112">
        <v>9.77</v>
      </c>
      <c r="D20" s="78">
        <f t="shared" ref="D20" si="2">C20/C19-1</f>
        <v>0.13341067285382846</v>
      </c>
      <c r="E20" s="80">
        <f t="shared" ref="E20" si="3">1+D20</f>
        <v>1.1334106728538285</v>
      </c>
    </row>
    <row r="21" spans="2:5" x14ac:dyDescent="0.25">
      <c r="B21" s="111">
        <v>2014</v>
      </c>
      <c r="C21" s="112">
        <v>12.5</v>
      </c>
      <c r="D21" s="78">
        <f t="shared" ref="D21:D24" si="4">C21/C20-1</f>
        <v>0.27942681678607983</v>
      </c>
      <c r="E21" s="80">
        <f t="shared" ref="E21:E26" si="5">1+D21</f>
        <v>1.2794268167860798</v>
      </c>
    </row>
    <row r="22" spans="2:5" x14ac:dyDescent="0.25">
      <c r="B22" s="111">
        <v>2015</v>
      </c>
      <c r="C22" s="112">
        <v>13.95</v>
      </c>
      <c r="D22" s="78">
        <f t="shared" si="4"/>
        <v>0.11599999999999988</v>
      </c>
      <c r="E22" s="80">
        <f t="shared" si="5"/>
        <v>1.1159999999999999</v>
      </c>
    </row>
    <row r="23" spans="2:5" x14ac:dyDescent="0.25">
      <c r="B23" s="111">
        <v>2016</v>
      </c>
      <c r="C23" s="112">
        <v>15.6</v>
      </c>
      <c r="D23" s="78">
        <f t="shared" si="4"/>
        <v>0.11827956989247324</v>
      </c>
      <c r="E23" s="80">
        <f t="shared" si="5"/>
        <v>1.1182795698924732</v>
      </c>
    </row>
    <row r="24" spans="2:5" x14ac:dyDescent="0.25">
      <c r="B24" s="111">
        <v>2017</v>
      </c>
      <c r="C24" s="112">
        <v>16.98</v>
      </c>
      <c r="D24" s="78">
        <f t="shared" si="4"/>
        <v>8.8461538461538591E-2</v>
      </c>
      <c r="E24" s="80">
        <f t="shared" si="5"/>
        <v>1.0884615384615386</v>
      </c>
    </row>
    <row r="25" spans="2:5" x14ac:dyDescent="0.25">
      <c r="B25" s="111">
        <v>2018</v>
      </c>
      <c r="C25" s="112">
        <v>18.420000000000002</v>
      </c>
      <c r="D25" s="78">
        <f t="shared" ref="D25" si="6">C25/C24-1</f>
        <v>8.4805653710247508E-2</v>
      </c>
      <c r="E25" s="80">
        <f t="shared" ref="E25" si="7">1+D25</f>
        <v>1.0848056537102475</v>
      </c>
    </row>
    <row r="26" spans="2:5" ht="15.75" thickBot="1" x14ac:dyDescent="0.3">
      <c r="B26" s="81">
        <v>2019</v>
      </c>
      <c r="C26" s="82">
        <v>19.86</v>
      </c>
      <c r="D26" s="78">
        <f>C26/C25-1</f>
        <v>7.8175895765472125E-2</v>
      </c>
      <c r="E26" s="80">
        <f t="shared" si="5"/>
        <v>1.0781758957654721</v>
      </c>
    </row>
    <row r="27" spans="2:5" ht="8.25" customHeight="1" x14ac:dyDescent="0.25">
      <c r="B27" s="89"/>
      <c r="C27" s="90"/>
      <c r="D27" s="90"/>
      <c r="E27" s="91"/>
    </row>
    <row r="28" spans="2:5" x14ac:dyDescent="0.25">
      <c r="B28" s="97" t="s">
        <v>171</v>
      </c>
      <c r="E28" s="92"/>
    </row>
    <row r="29" spans="2:5" ht="3.75" customHeight="1" thickBot="1" x14ac:dyDescent="0.3">
      <c r="B29" s="93"/>
      <c r="C29" s="153"/>
      <c r="D29" s="153"/>
      <c r="E29" s="92"/>
    </row>
    <row r="30" spans="2:5" ht="15.75" thickBot="1" x14ac:dyDescent="0.3">
      <c r="B30" s="93"/>
      <c r="C30" s="98">
        <f>GEOMEAN(E8:E26)-1</f>
        <v>3.9921079504551926E-2</v>
      </c>
      <c r="D30" s="9" t="s">
        <v>172</v>
      </c>
      <c r="E30" s="92"/>
    </row>
    <row r="31" spans="2:5" ht="6.75" customHeight="1" thickBot="1" x14ac:dyDescent="0.3">
      <c r="B31" s="93"/>
      <c r="C31" s="99"/>
      <c r="E31" s="92"/>
    </row>
    <row r="32" spans="2:5" ht="15.75" thickBot="1" x14ac:dyDescent="0.3">
      <c r="B32" s="93"/>
      <c r="C32" s="134">
        <f>(PRODUCT(E8:E26)^(1/19))-1</f>
        <v>3.9921079504551926E-2</v>
      </c>
      <c r="D32" s="9" t="s">
        <v>213</v>
      </c>
      <c r="E32" s="92"/>
    </row>
    <row r="33" spans="2:5" ht="6.75" customHeight="1" thickBot="1" x14ac:dyDescent="0.3">
      <c r="B33" s="94"/>
      <c r="C33" s="95"/>
      <c r="D33" s="95"/>
      <c r="E33" s="96"/>
    </row>
  </sheetData>
  <mergeCells count="1">
    <mergeCell ref="C29:D2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Q67"/>
  <sheetViews>
    <sheetView showGridLines="0" zoomScale="115" zoomScaleNormal="115" workbookViewId="0">
      <selection activeCell="C17" sqref="C17"/>
    </sheetView>
  </sheetViews>
  <sheetFormatPr defaultRowHeight="15" x14ac:dyDescent="0.25"/>
  <cols>
    <col min="1" max="2" width="3.85546875" customWidth="1"/>
    <col min="3" max="3" width="10.42578125" customWidth="1"/>
    <col min="4" max="4" width="2.85546875" customWidth="1"/>
    <col min="5" max="5" width="2.7109375" customWidth="1"/>
    <col min="6" max="6" width="6" style="64" customWidth="1"/>
  </cols>
  <sheetData>
    <row r="2" spans="2:17" ht="139.5" customHeight="1" x14ac:dyDescent="0.25"/>
    <row r="3" spans="2:17" ht="15.75" thickBot="1" x14ac:dyDescent="0.3">
      <c r="B3" s="1"/>
      <c r="C3" s="101"/>
      <c r="D3" s="1"/>
      <c r="E3" s="1"/>
      <c r="F3" s="102"/>
      <c r="G3" s="1"/>
      <c r="H3" s="1"/>
      <c r="I3" s="1"/>
      <c r="J3" s="1"/>
      <c r="K3" s="1"/>
      <c r="L3" s="1"/>
      <c r="M3" s="1"/>
      <c r="N3" s="1"/>
      <c r="O3" s="1"/>
      <c r="P3" s="1"/>
      <c r="Q3" s="1"/>
    </row>
    <row r="4" spans="2:17" ht="103.15" customHeight="1" thickBot="1" x14ac:dyDescent="0.3">
      <c r="B4" s="103"/>
      <c r="C4" s="104" t="s">
        <v>121</v>
      </c>
      <c r="D4" s="154" t="s">
        <v>183</v>
      </c>
      <c r="E4" s="154"/>
      <c r="F4" s="154"/>
      <c r="G4" s="154"/>
      <c r="H4" s="154"/>
      <c r="I4" s="154"/>
      <c r="J4" s="154"/>
      <c r="K4" s="154"/>
      <c r="L4" s="154"/>
      <c r="M4" s="154"/>
      <c r="N4" s="154"/>
      <c r="O4" s="103"/>
      <c r="P4" s="103"/>
      <c r="Q4" s="103"/>
    </row>
    <row r="5" spans="2:17" ht="15.75" thickBot="1" x14ac:dyDescent="0.3"/>
    <row r="6" spans="2:17" ht="15.75" thickBot="1" x14ac:dyDescent="0.3">
      <c r="C6" s="69" t="s">
        <v>187</v>
      </c>
      <c r="D6" s="66" t="s">
        <v>217</v>
      </c>
    </row>
    <row r="7" spans="2:17" ht="8.4499999999999993" customHeight="1" x14ac:dyDescent="0.25">
      <c r="C7" s="68"/>
      <c r="D7" s="66"/>
    </row>
    <row r="8" spans="2:17" ht="14.25" customHeight="1" x14ac:dyDescent="0.25">
      <c r="C8" s="68"/>
      <c r="D8" s="65" t="s">
        <v>175</v>
      </c>
    </row>
    <row r="9" spans="2:17" x14ac:dyDescent="0.25">
      <c r="C9" s="68"/>
      <c r="D9" s="65" t="s">
        <v>184</v>
      </c>
    </row>
    <row r="10" spans="2:17" x14ac:dyDescent="0.25">
      <c r="C10" s="68"/>
      <c r="D10" s="65" t="s">
        <v>185</v>
      </c>
    </row>
    <row r="11" spans="2:17" x14ac:dyDescent="0.25">
      <c r="C11" s="68"/>
      <c r="D11" s="65" t="s">
        <v>186</v>
      </c>
    </row>
    <row r="12" spans="2:17" x14ac:dyDescent="0.25">
      <c r="C12" s="68"/>
      <c r="D12" s="65" t="s">
        <v>120</v>
      </c>
    </row>
    <row r="13" spans="2:17" ht="15.75" thickBot="1" x14ac:dyDescent="0.3">
      <c r="C13" s="68"/>
    </row>
    <row r="14" spans="2:17" ht="15.75" thickBot="1" x14ac:dyDescent="0.3">
      <c r="C14" s="69" t="s">
        <v>215</v>
      </c>
      <c r="D14" s="66" t="s">
        <v>188</v>
      </c>
    </row>
    <row r="15" spans="2:17" ht="9.6" customHeight="1" x14ac:dyDescent="0.25">
      <c r="D15" s="66"/>
    </row>
    <row r="16" spans="2:17" x14ac:dyDescent="0.25">
      <c r="D16" s="65" t="s">
        <v>189</v>
      </c>
    </row>
    <row r="17" spans="2:17" x14ac:dyDescent="0.25">
      <c r="D17" s="65" t="s">
        <v>180</v>
      </c>
    </row>
    <row r="18" spans="2:17" x14ac:dyDescent="0.25">
      <c r="D18" s="65" t="s">
        <v>216</v>
      </c>
    </row>
    <row r="19" spans="2:17" x14ac:dyDescent="0.25">
      <c r="D19" s="65" t="s">
        <v>190</v>
      </c>
    </row>
    <row r="20" spans="2:17" x14ac:dyDescent="0.25">
      <c r="D20" s="65" t="s">
        <v>191</v>
      </c>
    </row>
    <row r="21" spans="2:17" ht="15.75" thickBot="1" x14ac:dyDescent="0.3">
      <c r="D21" s="65"/>
    </row>
    <row r="22" spans="2:17" ht="15.75" thickBot="1" x14ac:dyDescent="0.3">
      <c r="C22" s="69" t="s">
        <v>215</v>
      </c>
      <c r="D22" s="66" t="s">
        <v>181</v>
      </c>
    </row>
    <row r="23" spans="2:17" ht="9" customHeight="1" x14ac:dyDescent="0.25">
      <c r="C23" s="68"/>
      <c r="D23" s="66"/>
    </row>
    <row r="24" spans="2:17" x14ac:dyDescent="0.25">
      <c r="C24" s="68"/>
      <c r="D24" s="65" t="s">
        <v>200</v>
      </c>
    </row>
    <row r="25" spans="2:17" x14ac:dyDescent="0.25">
      <c r="C25" s="68"/>
      <c r="D25" s="65" t="s">
        <v>192</v>
      </c>
    </row>
    <row r="26" spans="2:17" x14ac:dyDescent="0.25">
      <c r="C26" s="68"/>
      <c r="D26" s="65" t="s">
        <v>176</v>
      </c>
    </row>
    <row r="27" spans="2:17" x14ac:dyDescent="0.25">
      <c r="C27" s="68"/>
      <c r="D27" s="65" t="s">
        <v>214</v>
      </c>
    </row>
    <row r="28" spans="2:17" x14ac:dyDescent="0.25">
      <c r="C28" s="68"/>
      <c r="D28" s="65" t="s">
        <v>122</v>
      </c>
    </row>
    <row r="29" spans="2:17" ht="15.75" thickBot="1" x14ac:dyDescent="0.3">
      <c r="B29" s="1"/>
      <c r="C29" s="101"/>
      <c r="D29" s="105"/>
      <c r="E29" s="1"/>
      <c r="F29" s="102"/>
      <c r="G29" s="1"/>
      <c r="H29" s="1"/>
      <c r="I29" s="1"/>
      <c r="J29" s="1"/>
      <c r="K29" s="1"/>
      <c r="L29" s="1"/>
      <c r="M29" s="1"/>
      <c r="N29" s="1"/>
      <c r="O29" s="1"/>
      <c r="P29" s="1"/>
      <c r="Q29" s="1"/>
    </row>
    <row r="30" spans="2:17" ht="121.15" customHeight="1" thickBot="1" x14ac:dyDescent="0.3">
      <c r="B30" s="103"/>
      <c r="C30" s="104" t="s">
        <v>123</v>
      </c>
      <c r="D30" s="155" t="s">
        <v>193</v>
      </c>
      <c r="E30" s="155"/>
      <c r="F30" s="155"/>
      <c r="G30" s="155"/>
      <c r="H30" s="155"/>
      <c r="I30" s="155"/>
      <c r="J30" s="155"/>
      <c r="K30" s="155"/>
      <c r="L30" s="155"/>
      <c r="M30" s="155"/>
      <c r="N30" s="155"/>
      <c r="O30" s="103"/>
      <c r="P30" s="103"/>
      <c r="Q30" s="103"/>
    </row>
    <row r="31" spans="2:17" ht="15.75" thickBot="1" x14ac:dyDescent="0.3"/>
    <row r="32" spans="2:17" ht="15.75" thickBot="1" x14ac:dyDescent="0.3">
      <c r="C32" s="69" t="b">
        <v>0</v>
      </c>
      <c r="D32" t="s">
        <v>204</v>
      </c>
    </row>
    <row r="33" spans="3:4" ht="15.75" thickBot="1" x14ac:dyDescent="0.3"/>
    <row r="34" spans="3:4" ht="15.75" thickBot="1" x14ac:dyDescent="0.3">
      <c r="C34" s="69" t="b">
        <v>0</v>
      </c>
      <c r="D34" t="s">
        <v>218</v>
      </c>
    </row>
    <row r="35" spans="3:4" x14ac:dyDescent="0.25">
      <c r="C35" s="68"/>
      <c r="D35" t="s">
        <v>194</v>
      </c>
    </row>
    <row r="36" spans="3:4" ht="15.75" thickBot="1" x14ac:dyDescent="0.3"/>
    <row r="37" spans="3:4" ht="15.75" thickBot="1" x14ac:dyDescent="0.3">
      <c r="C37" s="69" t="b">
        <v>0</v>
      </c>
      <c r="D37" t="s">
        <v>219</v>
      </c>
    </row>
    <row r="38" spans="3:4" ht="15.75" thickBot="1" x14ac:dyDescent="0.3">
      <c r="C38" s="68"/>
    </row>
    <row r="39" spans="3:4" ht="15.75" thickBot="1" x14ac:dyDescent="0.3">
      <c r="C39" s="69" t="b">
        <v>1</v>
      </c>
      <c r="D39" t="s">
        <v>203</v>
      </c>
    </row>
    <row r="40" spans="3:4" x14ac:dyDescent="0.25">
      <c r="D40" t="s">
        <v>220</v>
      </c>
    </row>
    <row r="41" spans="3:4" ht="15.75" thickBot="1" x14ac:dyDescent="0.3">
      <c r="C41" s="68"/>
    </row>
    <row r="42" spans="3:4" ht="15.75" thickBot="1" x14ac:dyDescent="0.3">
      <c r="C42" s="69" t="b">
        <v>0</v>
      </c>
      <c r="D42" t="s">
        <v>201</v>
      </c>
    </row>
    <row r="43" spans="3:4" x14ac:dyDescent="0.25">
      <c r="D43" t="s">
        <v>202</v>
      </c>
    </row>
    <row r="44" spans="3:4" ht="15.75" thickBot="1" x14ac:dyDescent="0.3">
      <c r="C44" s="68"/>
    </row>
    <row r="45" spans="3:4" ht="15.75" thickBot="1" x14ac:dyDescent="0.3">
      <c r="C45" s="100" t="b">
        <v>1</v>
      </c>
      <c r="D45" t="s">
        <v>195</v>
      </c>
    </row>
    <row r="46" spans="3:4" ht="15.75" thickBot="1" x14ac:dyDescent="0.3">
      <c r="C46" s="68"/>
    </row>
    <row r="47" spans="3:4" ht="15.75" thickBot="1" x14ac:dyDescent="0.3">
      <c r="C47" s="69" t="b">
        <v>1</v>
      </c>
      <c r="D47" t="s">
        <v>221</v>
      </c>
    </row>
    <row r="48" spans="3:4" ht="15.75" thickBot="1" x14ac:dyDescent="0.3"/>
    <row r="49" spans="3:6" ht="15.75" thickBot="1" x14ac:dyDescent="0.3">
      <c r="C49" s="69" t="b">
        <v>0</v>
      </c>
      <c r="D49" t="s">
        <v>166</v>
      </c>
    </row>
    <row r="50" spans="3:6" ht="15.75" thickBot="1" x14ac:dyDescent="0.3"/>
    <row r="51" spans="3:6" ht="15.75" thickBot="1" x14ac:dyDescent="0.3">
      <c r="C51" s="69" t="b">
        <v>0</v>
      </c>
      <c r="D51" s="67" t="s">
        <v>222</v>
      </c>
    </row>
    <row r="52" spans="3:6" x14ac:dyDescent="0.25">
      <c r="D52" t="s">
        <v>124</v>
      </c>
    </row>
    <row r="53" spans="3:6" ht="15.75" thickBot="1" x14ac:dyDescent="0.3"/>
    <row r="54" spans="3:6" ht="15.75" thickBot="1" x14ac:dyDescent="0.3">
      <c r="C54" s="100" t="b">
        <v>1</v>
      </c>
      <c r="D54" t="s">
        <v>177</v>
      </c>
      <c r="E54" s="68"/>
      <c r="F54"/>
    </row>
    <row r="55" spans="3:6" x14ac:dyDescent="0.25">
      <c r="D55" t="s">
        <v>174</v>
      </c>
      <c r="E55" s="68"/>
      <c r="F55"/>
    </row>
    <row r="56" spans="3:6" ht="15.75" thickBot="1" x14ac:dyDescent="0.3"/>
    <row r="57" spans="3:6" ht="15.75" thickBot="1" x14ac:dyDescent="0.3">
      <c r="C57" s="100" t="b">
        <v>1</v>
      </c>
      <c r="D57" s="67" t="s">
        <v>223</v>
      </c>
      <c r="E57" s="68"/>
      <c r="F57"/>
    </row>
    <row r="58" spans="3:6" x14ac:dyDescent="0.25">
      <c r="D58" t="s">
        <v>182</v>
      </c>
      <c r="E58" s="68"/>
      <c r="F58"/>
    </row>
    <row r="59" spans="3:6" ht="15.75" thickBot="1" x14ac:dyDescent="0.3"/>
    <row r="60" spans="3:6" ht="15.75" thickBot="1" x14ac:dyDescent="0.3">
      <c r="C60" s="100" t="b">
        <v>1</v>
      </c>
      <c r="D60" s="67" t="s">
        <v>178</v>
      </c>
      <c r="E60" s="68"/>
      <c r="F60"/>
    </row>
    <row r="61" spans="3:6" x14ac:dyDescent="0.25">
      <c r="D61" t="s">
        <v>179</v>
      </c>
      <c r="E61" s="68"/>
      <c r="F61"/>
    </row>
    <row r="62" spans="3:6" ht="11.25" customHeight="1" thickBot="1" x14ac:dyDescent="0.3">
      <c r="E62" s="68"/>
      <c r="F62"/>
    </row>
    <row r="63" spans="3:6" ht="15.75" thickBot="1" x14ac:dyDescent="0.3">
      <c r="C63" s="100" t="b">
        <v>0</v>
      </c>
      <c r="D63" s="67" t="s">
        <v>224</v>
      </c>
      <c r="E63" s="68"/>
      <c r="F63"/>
    </row>
    <row r="64" spans="3:6" ht="15.75" thickBot="1" x14ac:dyDescent="0.3">
      <c r="E64" s="68"/>
      <c r="F64"/>
    </row>
    <row r="65" spans="2:17" ht="15.75" thickBot="1" x14ac:dyDescent="0.3">
      <c r="C65" s="100" t="b">
        <v>0</v>
      </c>
      <c r="D65" s="67" t="s">
        <v>196</v>
      </c>
      <c r="E65" s="68"/>
      <c r="F65"/>
    </row>
    <row r="66" spans="2:17" x14ac:dyDescent="0.25">
      <c r="E66" s="68"/>
      <c r="F66"/>
    </row>
    <row r="67" spans="2:17" ht="15.75" thickBot="1" x14ac:dyDescent="0.3">
      <c r="B67" s="1"/>
      <c r="C67" s="1"/>
      <c r="D67" s="1"/>
      <c r="E67" s="1"/>
      <c r="F67" s="102"/>
      <c r="G67" s="1"/>
      <c r="H67" s="1"/>
      <c r="I67" s="1"/>
      <c r="J67" s="1"/>
      <c r="K67" s="1"/>
      <c r="L67" s="1"/>
      <c r="M67" s="1"/>
      <c r="N67" s="1"/>
      <c r="O67" s="1"/>
      <c r="P67" s="1"/>
      <c r="Q67"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2:J9"/>
  <sheetViews>
    <sheetView showGridLines="0" zoomScale="130" zoomScaleNormal="130" workbookViewId="0">
      <selection activeCell="D14" sqref="D14"/>
    </sheetView>
  </sheetViews>
  <sheetFormatPr defaultRowHeight="15" x14ac:dyDescent="0.25"/>
  <cols>
    <col min="3" max="3" width="3.42578125" customWidth="1"/>
    <col min="6" max="6" width="3.42578125" customWidth="1"/>
    <col min="9" max="9" width="3.42578125" customWidth="1"/>
  </cols>
  <sheetData>
    <row r="2" spans="2:10" ht="21" x14ac:dyDescent="0.35">
      <c r="B2" s="73" t="s">
        <v>167</v>
      </c>
      <c r="C2" s="73"/>
    </row>
    <row r="3" spans="2:10" ht="15.75" thickBot="1" x14ac:dyDescent="0.3"/>
    <row r="4" spans="2:10" x14ac:dyDescent="0.25">
      <c r="B4" s="74">
        <v>1</v>
      </c>
      <c r="C4" s="114"/>
      <c r="D4" s="70" t="str">
        <f>'MC-TF - 20 Pts'!C6</f>
        <v>D</v>
      </c>
      <c r="E4" s="74">
        <v>7</v>
      </c>
      <c r="F4" s="114"/>
      <c r="G4" s="70" t="b">
        <f>'MC-TF - 20 Pts'!C39</f>
        <v>1</v>
      </c>
      <c r="H4" s="74">
        <v>13</v>
      </c>
      <c r="I4" s="114"/>
      <c r="J4" s="70" t="b">
        <f>'MC-TF - 20 Pts'!C54</f>
        <v>1</v>
      </c>
    </row>
    <row r="5" spans="2:10" x14ac:dyDescent="0.25">
      <c r="B5" s="75">
        <v>2</v>
      </c>
      <c r="C5" s="113"/>
      <c r="D5" s="71" t="str">
        <f>'MC-TF - 20 Pts'!C14</f>
        <v>E</v>
      </c>
      <c r="E5" s="75">
        <v>8</v>
      </c>
      <c r="F5" s="113"/>
      <c r="G5" s="71" t="b">
        <f>'MC-TF - 20 Pts'!C42</f>
        <v>0</v>
      </c>
      <c r="H5" s="75">
        <v>14</v>
      </c>
      <c r="I5" s="113"/>
      <c r="J5" s="71" t="b">
        <f>'MC-TF - 20 Pts'!C57</f>
        <v>1</v>
      </c>
    </row>
    <row r="6" spans="2:10" x14ac:dyDescent="0.25">
      <c r="B6" s="75">
        <v>3</v>
      </c>
      <c r="C6" s="113"/>
      <c r="D6" s="71" t="str">
        <f>'MC-TF - 20 Pts'!C22</f>
        <v>E</v>
      </c>
      <c r="E6" s="75">
        <v>9</v>
      </c>
      <c r="F6" s="113"/>
      <c r="G6" s="71" t="b">
        <f>'MC-TF - 20 Pts'!C45</f>
        <v>1</v>
      </c>
      <c r="H6" s="75">
        <v>15</v>
      </c>
      <c r="I6" s="113"/>
      <c r="J6" s="71" t="b">
        <f>'MC-TF - 20 Pts'!C60</f>
        <v>1</v>
      </c>
    </row>
    <row r="7" spans="2:10" x14ac:dyDescent="0.25">
      <c r="B7" s="75">
        <v>4</v>
      </c>
      <c r="C7" s="113"/>
      <c r="D7" s="71" t="b">
        <f>'MC-TF - 20 Pts'!C32</f>
        <v>0</v>
      </c>
      <c r="E7" s="75">
        <v>10</v>
      </c>
      <c r="F7" s="113"/>
      <c r="G7" s="71" t="b">
        <f>'MC-TF - 20 Pts'!C47</f>
        <v>1</v>
      </c>
      <c r="H7" s="75">
        <v>16</v>
      </c>
      <c r="I7" s="113"/>
      <c r="J7" s="71" t="b">
        <f>'MC-TF - 20 Pts'!C63</f>
        <v>0</v>
      </c>
    </row>
    <row r="8" spans="2:10" x14ac:dyDescent="0.25">
      <c r="B8" s="116">
        <v>5</v>
      </c>
      <c r="C8" s="117"/>
      <c r="D8" s="71" t="b">
        <f>'MC-TF - 20 Pts'!C34</f>
        <v>0</v>
      </c>
      <c r="E8" s="116">
        <v>11</v>
      </c>
      <c r="F8" s="117"/>
      <c r="G8" s="71" t="b">
        <f>'MC-TF - 20 Pts'!C49</f>
        <v>0</v>
      </c>
      <c r="H8" s="116">
        <v>17</v>
      </c>
      <c r="I8" s="117"/>
      <c r="J8" s="71" t="b">
        <f>'MC-TF - 20 Pts'!C65</f>
        <v>0</v>
      </c>
    </row>
    <row r="9" spans="2:10" ht="15.75" thickBot="1" x14ac:dyDescent="0.3">
      <c r="B9" s="76">
        <v>6</v>
      </c>
      <c r="C9" s="115"/>
      <c r="D9" s="72" t="b">
        <f>'MC-TF - 20 Pts'!C37</f>
        <v>0</v>
      </c>
      <c r="E9" s="76">
        <v>12</v>
      </c>
      <c r="F9" s="115"/>
      <c r="G9" s="72" t="b">
        <f>'MC-TF - 20 Pts'!C51</f>
        <v>0</v>
      </c>
      <c r="H9" s="118"/>
      <c r="I9" s="119"/>
      <c r="J9" s="1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Prob 1 - 30 Pts</vt:lpstr>
      <vt:lpstr>Prob 2 - 30 Pts </vt:lpstr>
      <vt:lpstr>Scenario Summary</vt:lpstr>
      <vt:lpstr>Prob 3 - 10 Pts</vt:lpstr>
      <vt:lpstr>Prob 4 - 10 Pts</vt:lpstr>
      <vt:lpstr>MC-TF - 20 Pts</vt:lpstr>
      <vt:lpstr>Sheet3</vt:lpstr>
      <vt:lpstr>Collect0</vt:lpstr>
      <vt:lpstr>Collect1</vt:lpstr>
      <vt:lpstr>Collect2</vt:lpstr>
      <vt:lpstr>NCF</vt:lpstr>
      <vt:lpstr>'Prob 1 - 30 Pts'!Print_Area</vt:lpstr>
      <vt:lpstr>'Prob 2 - 30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2013-09-30T20:33:28Z</cp:lastPrinted>
  <dcterms:created xsi:type="dcterms:W3CDTF">2010-01-07T16:00:30Z</dcterms:created>
  <dcterms:modified xsi:type="dcterms:W3CDTF">2020-09-25T17:56:15Z</dcterms:modified>
</cp:coreProperties>
</file>