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C:\Users\dhawley\Ole Miss Business Dropbox\Del Hawley\Class\Fall 2021\Exam 1\"/>
    </mc:Choice>
  </mc:AlternateContent>
  <xr:revisionPtr revIDLastSave="0" documentId="13_ncr:1_{50B67C30-335E-4518-A239-0C6085C0EE82}" xr6:coauthVersionLast="36" xr6:coauthVersionMax="45" xr10:uidLastSave="{00000000-0000-0000-0000-000000000000}"/>
  <bookViews>
    <workbookView xWindow="0" yWindow="0" windowWidth="23040" windowHeight="9780" tabRatio="887" xr2:uid="{00000000-000D-0000-FFFF-FFFF00000000}"/>
  </bookViews>
  <sheets>
    <sheet name="INSTRUCTIONS" sheetId="33" r:id="rId1"/>
    <sheet name="Prob 1 - 30 Pts" sheetId="1" r:id="rId2"/>
    <sheet name="Prob 2 - 30 Pts " sheetId="6" r:id="rId3"/>
    <sheet name="Scenario Summary" sheetId="32" r:id="rId4"/>
    <sheet name="Prob 3 - 10 Pts" sheetId="7" r:id="rId5"/>
    <sheet name="Prob 4 - 10 Pts" sheetId="21" r:id="rId6"/>
    <sheet name="MC-TF - 20 Pts" sheetId="18" r:id="rId7"/>
    <sheet name="Sheet3" sheetId="19" r:id="rId8"/>
  </sheets>
  <definedNames>
    <definedName name="Collect0">'Prob 2 - 30 Pts '!$F$22</definedName>
    <definedName name="Collect1">'Prob 2 - 30 Pts '!$F$23</definedName>
    <definedName name="Collect2">'Prob 2 - 30 Pts '!$F$24</definedName>
    <definedName name="NCF">'Prob 2 - 30 Pts '!$F$43:$N$43</definedName>
    <definedName name="_xlnm.Print_Area" localSheetId="1">'Prob 1 - 30 Pts'!$B$17:$G$67</definedName>
    <definedName name="_xlnm.Print_Area" localSheetId="2">'Prob 2 - 30 Pts '!$B$20:$N$55</definedName>
  </definedNames>
  <calcPr calcId="191029"/>
</workbook>
</file>

<file path=xl/calcChain.xml><?xml version="1.0" encoding="utf-8"?>
<calcChain xmlns="http://schemas.openxmlformats.org/spreadsheetml/2006/main">
  <c r="D27" i="21" l="1"/>
  <c r="E27" i="21" s="1"/>
  <c r="D26" i="21"/>
  <c r="E26" i="21" s="1"/>
  <c r="D25" i="21"/>
  <c r="E25" i="21" s="1"/>
  <c r="D24" i="21"/>
  <c r="E24" i="21" s="1"/>
  <c r="D23" i="21"/>
  <c r="E23" i="21" s="1"/>
  <c r="D22" i="21"/>
  <c r="E22" i="21" s="1"/>
  <c r="D21" i="21"/>
  <c r="E21" i="21" s="1"/>
  <c r="D20" i="2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C33" i="21" l="1"/>
  <c r="C31" i="21"/>
  <c r="D85" i="1"/>
  <c r="D77" i="1"/>
  <c r="E32" i="1"/>
  <c r="E44" i="1" l="1"/>
  <c r="D9" i="19" l="1"/>
  <c r="J8" i="19"/>
  <c r="J7" i="19"/>
  <c r="J6" i="19"/>
  <c r="J5" i="19"/>
  <c r="J4" i="19"/>
  <c r="G9" i="19"/>
  <c r="G8" i="19"/>
  <c r="G7" i="19"/>
  <c r="G6" i="19"/>
  <c r="G5" i="19"/>
  <c r="G4" i="19"/>
  <c r="D8" i="19"/>
  <c r="D81" i="1"/>
  <c r="D90" i="1"/>
  <c r="D76" i="1" l="1"/>
  <c r="D7" i="19" l="1"/>
  <c r="D6" i="19"/>
  <c r="D5" i="19"/>
  <c r="D4" i="19"/>
  <c r="D94" i="1" l="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47" i="1"/>
  <c r="D46" i="1"/>
  <c r="E66" i="1"/>
  <c r="E60" i="1"/>
  <c r="E62" i="1" s="1"/>
  <c r="E52" i="1"/>
  <c r="G30" i="1"/>
  <c r="G28" i="1"/>
  <c r="G27" i="1"/>
  <c r="G26" i="1"/>
  <c r="G24" i="1"/>
  <c r="G23" i="1"/>
  <c r="D30" i="1"/>
  <c r="D28" i="1"/>
  <c r="D27" i="1"/>
  <c r="D26"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G44"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l="1"/>
  <c r="G54" i="1"/>
  <c r="G49" i="1"/>
  <c r="E33" i="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<sst xmlns="http://schemas.openxmlformats.org/spreadsheetml/2006/main" count="299" uniqueCount="248">
  <si>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</si>
  <si>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</si>
  <si>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</si>
  <si>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</si>
  <si>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</si>
  <si>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</si>
  <si>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</si>
  <si>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</si>
  <si>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</si>
  <si>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</si>
  <si>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</si>
  <si>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</si>
  <si>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</si>
  <si>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</si>
  <si>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</si>
  <si>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</si>
  <si>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</si>
  <si>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</si>
  <si>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</si>
  <si>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</si>
  <si>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</si>
  <si>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</si>
  <si>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</si>
  <si>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</si>
  <si>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</si>
  <si>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</si>
  <si>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</si>
  <si>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</si>
  <si>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</si>
  <si>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</si>
  <si>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</si>
  <si>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</si>
  <si>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</si>
  <si>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</si>
  <si>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</si>
  <si>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</si>
  <si>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</si>
  <si>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</si>
  <si>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</si>
  <si>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</si>
  <si>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</si>
  <si>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</si>
  <si>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</si>
  <si>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</si>
  <si>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</si>
  <si>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</si>
  <si>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</si>
  <si>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</si>
  <si>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</si>
  <si>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</si>
  <si>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</si>
  <si>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</si>
  <si>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</si>
  <si>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</si>
  <si>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</si>
  <si>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</si>
  <si>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</si>
  <si>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</si>
  <si>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</si>
  <si>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</si>
  <si>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</si>
  <si>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</si>
  <si>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</si>
  <si>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</si>
  <si>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</si>
  <si>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</si>
  <si>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</si>
  <si>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</si>
  <si>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</si>
  <si>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</si>
  <si>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</si>
  <si>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</si>
  <si>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</si>
  <si>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</si>
  <si>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</si>
  <si>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</si>
  <si>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</si>
  <si>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</si>
  <si>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</si>
  <si>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</si>
  <si>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</si>
  <si>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</si>
  <si>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</si>
  <si>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</si>
  <si>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</si>
  <si>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</si>
  <si>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</si>
  <si>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</si>
  <si>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</si>
  <si>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</si>
  <si>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</si>
  <si>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</si>
  <si>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</si>
  <si>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</si>
  <si>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</si>
  <si>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</si>
  <si>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</si>
  <si>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</si>
  <si>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</si>
  <si>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</si>
  <si>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</si>
  <si>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</si>
  <si>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</si>
  <si>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</si>
  <si>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</si>
  <si>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</si>
  <si>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</si>
  <si>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</si>
  <si>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</si>
  <si>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</si>
  <si>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</si>
  <si>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</si>
  <si>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</si>
  <si>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</si>
  <si>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</si>
  <si>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</si>
  <si>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</si>
  <si>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</si>
  <si>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</si>
  <si>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</si>
  <si>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</si>
  <si>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</si>
  <si>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</si>
  <si>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</si>
  <si>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</si>
  <si>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</si>
  <si>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</si>
  <si>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</si>
  <si>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</si>
  <si>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</si>
  <si>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</si>
  <si>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</si>
  <si>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</si>
  <si>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</si>
  <si>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</si>
  <si>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</si>
  <si>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</si>
  <si>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</si>
  <si>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</si>
  <si>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</si>
  <si>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</si>
  <si>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</si>
  <si>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</si>
  <si>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</si>
  <si>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</si>
  <si>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</si>
  <si>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</si>
  <si>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</si>
  <si>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</si>
  <si>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</si>
  <si>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</si>
  <si>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</si>
  <si>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</si>
  <si>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</si>
  <si>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</si>
  <si>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</si>
  <si>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</si>
  <si>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</si>
  <si>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</si>
  <si>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</si>
  <si>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</si>
  <si>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</si>
  <si>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</si>
  <si>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</si>
  <si>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</si>
  <si>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</si>
  <si>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</si>
  <si>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</si>
  <si>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</si>
  <si>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</si>
  <si>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</si>
  <si>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</si>
  <si>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</si>
  <si>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</si>
  <si>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</si>
  <si>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</si>
  <si>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</si>
  <si>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</si>
  <si>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</si>
  <si>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</si>
  <si>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</si>
  <si>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</si>
  <si>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</si>
  <si>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</si>
  <si>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</si>
  <si>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</si>
  <si>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</si>
  <si>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</si>
  <si>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</si>
  <si>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</si>
  <si>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</si>
  <si>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</si>
  <si>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</si>
  <si>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</si>
  <si>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</si>
  <si>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</si>
  <si>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True/False
-2 Points per incorrect or omitted answer</t>
  </si>
  <si>
    <t xml:space="preserve">           less cash dividends paid to shareholders during the period</t>
  </si>
  <si>
    <t xml:space="preserve"> 17. In the statement of cash flows, the entry for depreciation is always a cash outflow and so should have a negative sign.</t>
  </si>
  <si>
    <t>Created by Del on 9/22/2011
Modified by D Hawley on 9/22/2013
Modified by Del on 6/9/2014
Modified by Del Hawley on 2/16/2015
Modified by Del Hawley on 6/12/2016
Modified by Del Hawley on 2/19/2018
Modified by Hawley, Del on 7/2/2018
Modified by Hawle</t>
  </si>
  <si>
    <t>Created by Del on 9/22/2011
Modified by Del on 6/9/2012
Modified by D Hawley on 9/22/2013
Modified by Del on 6/9/2014
Modified by Del Hawley on 2/16/2015
Modified by Del Hawley on 6/12/2016
Modified by Hawley, Del on 7/2/2018
Modified by Del Hawley on</t>
  </si>
  <si>
    <r>
      <t>c.</t>
    </r>
    <r>
      <rPr>
        <sz val="7"/>
        <color theme="1"/>
        <rFont val="Times New Roman"/>
        <family val="1"/>
      </rPr>
      <t xml:space="preserve">       </t>
    </r>
    <r>
      <rPr>
        <sz val="11"/>
        <color theme="1"/>
        <rFont val="Calibri"/>
        <family val="2"/>
        <scheme val="minor"/>
      </rPr>
      <t>An increase in Accounts Receivable on the balance sheet.</t>
    </r>
  </si>
  <si>
    <t xml:space="preserve"> 12. The book values of assets as shown on the balance sheet are not meant to be accurate </t>
  </si>
  <si>
    <t xml:space="preserve">  8. Net Income on the income statement should always be an accurate representation of the increase in the actual total value</t>
  </si>
  <si>
    <t xml:space="preserve">       of the company during a given period.</t>
  </si>
  <si>
    <t xml:space="preserve">  4. Lotus 1-2-3 was the first spreadsheet program ever to be marketed for personal computers.</t>
  </si>
  <si>
    <t>Inputs for 2021</t>
  </si>
  <si>
    <t>2020-2021</t>
  </si>
  <si>
    <t>2021</t>
  </si>
  <si>
    <t>2020</t>
  </si>
  <si>
    <t>Complete the 2020 and 2021 Income Statements and Balance Sheets using</t>
  </si>
  <si>
    <t xml:space="preserve">appropriately use the 2021 inputs. All computations should reflect any changes </t>
  </si>
  <si>
    <t>Create the common size income statements and balance sheets for 2020 and 2021</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</si>
  <si>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</si>
  <si>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</si>
  <si>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t>C</t>
  </si>
  <si>
    <r>
      <t>d.</t>
    </r>
    <r>
      <rPr>
        <sz val="7"/>
        <color theme="1"/>
        <rFont val="Times New Roman"/>
        <family val="1"/>
      </rPr>
      <t xml:space="preserve">      </t>
    </r>
    <r>
      <rPr>
        <sz val="11"/>
        <color theme="1"/>
        <rFont val="Calibri"/>
        <family val="2"/>
        <scheme val="minor"/>
      </rPr>
      <t>Operating profit margin</t>
    </r>
  </si>
  <si>
    <t>E</t>
  </si>
  <si>
    <r>
      <t>a.</t>
    </r>
    <r>
      <rPr>
        <sz val="7"/>
        <color theme="1"/>
        <rFont val="Times New Roman"/>
        <family val="1"/>
      </rPr>
      <t xml:space="preserve">       </t>
    </r>
    <r>
      <rPr>
        <sz val="11"/>
        <color theme="1"/>
        <rFont val="Calibri"/>
        <family val="2"/>
        <scheme val="minor"/>
      </rPr>
      <t>Liabilities to assets ratio</t>
    </r>
  </si>
  <si>
    <r>
      <t>b.</t>
    </r>
    <r>
      <rPr>
        <sz val="7"/>
        <color theme="1"/>
        <rFont val="Times New Roman"/>
        <family val="1"/>
      </rPr>
      <t xml:space="preserve">      </t>
    </r>
    <r>
      <rPr>
        <sz val="11"/>
        <color theme="1"/>
        <rFont val="Calibri"/>
        <family val="2"/>
        <scheme val="minor"/>
      </rPr>
      <t>Gross profit margin</t>
    </r>
  </si>
  <si>
    <t xml:space="preserve">  7. A financial statement with each item expressed as a percentage of Total Assets is called</t>
  </si>
  <si>
    <t xml:space="preserve">  6. Retained earnings on the balance sheet represent funds available for new investments.</t>
  </si>
  <si>
    <t xml:space="preserve">  9. Depreciation for a period is not included in the calculations on the statement of cash flows because it is not a cash flow.</t>
  </si>
  <si>
    <t xml:space="preserve"> 10. In the Statement of Cash Flows, an increase in the Marketable Securities account would be listed as a USE of cash.</t>
  </si>
  <si>
    <t xml:space="preserve"> 16. Gross profit margin equals operating profit (EBIT) divided by sales or revenue for a period.</t>
  </si>
  <si>
    <r>
      <t xml:space="preserve">Note: 2021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</si>
  <si>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2020.</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</si>
  <si>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</si>
  <si>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</si>
  <si>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</si>
  <si>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SAVE THIS FILE BACK TO YOUR DESKTOP WITH YOUR LAST NAME_FIRST NAME_EXAM1 AS THE FILENAME.</t>
  </si>
  <si>
    <t>LEAVE BLACKBOARD OPEN WHILE YOU WORK ON THE EXAM FILE.</t>
  </si>
  <si>
    <t>BE SURE TO CLICK BACK IN THE BLACKBOARD WINDOW EVERY</t>
  </si>
  <si>
    <t xml:space="preserve">15 MINUTES OR SO TO AVOID GETTING LOGGED OUT FOR </t>
  </si>
  <si>
    <t>INACTIVITY.</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</si>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</sst>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sz val="16"/>
      <color rgb="FFFF0000"/>
      <name val="Calibri"/>
      <family val="2"/>
      <scheme val="minor"/>
    </font>
    <font>
      <b/>
      <sz val="11"/>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u/>
      <sz val="14"/>
      <color rgb="FFFF0000"/>
      <name val="Calibri"/>
      <family val="2"/>
      <scheme val="minor"/>
    </font>
    <font>
      <b/>
      <i/>
      <sz val="14"/>
      <color rgb="FF002060"/>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52">
    <xf numFmtId="0" fontId="0" fillId="0" borderId="0" xfId="0"/>
    <xf numFmtId="0" fontId="0" fillId="0" borderId="1" xfId="0" applyBorder="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xf numFmtId="166" fontId="8" fillId="0" borderId="0" xfId="2" applyNumberFormat="1" applyFont="1"/>
    <xf numFmtId="166" fontId="1" fillId="0" borderId="4" xfId="2" applyNumberFormat="1" applyBorder="1"/>
    <xf numFmtId="41" fontId="7" fillId="0" borderId="0" xfId="0" applyNumberFormat="1" applyFont="1"/>
    <xf numFmtId="0" fontId="11" fillId="0" borderId="0" xfId="0" applyFont="1"/>
    <xf numFmtId="43" fontId="0" fillId="2" borderId="4" xfId="0" applyNumberFormat="1" applyFill="1" applyBorder="1"/>
    <xf numFmtId="43" fontId="0" fillId="2" borderId="0" xfId="0" applyNumberFormat="1" applyFill="1"/>
    <xf numFmtId="43" fontId="8" fillId="2" borderId="0" xfId="0" applyNumberFormat="1" applyFont="1" applyFill="1"/>
    <xf numFmtId="0" fontId="13" fillId="5" borderId="6" xfId="0" applyFont="1" applyFill="1" applyBorder="1" applyAlignment="1">
      <alignment horizontal="right"/>
    </xf>
    <xf numFmtId="0" fontId="13" fillId="5" borderId="14" xfId="0" applyFont="1" applyFill="1" applyBorder="1" applyAlignment="1">
      <alignment horizontal="right"/>
    </xf>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Fill="1" applyBorder="1"/>
    <xf numFmtId="0" fontId="0" fillId="0" borderId="0" xfId="0" applyAlignment="1">
      <alignment horizontal="left"/>
    </xf>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7" fillId="0" borderId="0" xfId="0" applyFont="1"/>
    <xf numFmtId="0" fontId="3" fillId="8" borderId="16" xfId="0" applyFont="1" applyFill="1" applyBorder="1" applyAlignment="1">
      <alignment horizontal="center" vertical="center"/>
    </xf>
    <xf numFmtId="0" fontId="3" fillId="8" borderId="18" xfId="0" applyFont="1" applyFill="1" applyBorder="1" applyAlignment="1">
      <alignment horizontal="center" vertical="center"/>
    </xf>
    <xf numFmtId="0" fontId="3" fillId="8" borderId="20"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168" fontId="0" fillId="0" borderId="19" xfId="1" applyNumberFormat="1" applyFont="1" applyBorder="1"/>
    <xf numFmtId="44" fontId="0" fillId="0" borderId="22" xfId="0" applyNumberFormat="1" applyBorder="1"/>
    <xf numFmtId="44" fontId="0" fillId="0" borderId="23" xfId="0" applyNumberFormat="1" applyBorder="1"/>
    <xf numFmtId="44" fontId="0" fillId="9" borderId="23" xfId="0" applyNumberFormat="1" applyFill="1" applyBorder="1"/>
    <xf numFmtId="44" fontId="18" fillId="10" borderId="24" xfId="0" applyNumberFormat="1" applyFont="1" applyFill="1" applyBorder="1" applyAlignment="1">
      <alignment horizontal="center" vertical="center"/>
    </xf>
    <xf numFmtId="44" fontId="18" fillId="10" borderId="25" xfId="0" applyNumberFormat="1" applyFont="1" applyFill="1" applyBorder="1" applyAlignment="1">
      <alignment horizontal="center" vertical="center" wrapText="1"/>
    </xf>
    <xf numFmtId="44" fontId="18" fillId="10" borderId="26"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69" fontId="0" fillId="2" borderId="3" xfId="3" applyNumberFormat="1" applyFont="1" applyFill="1" applyBorder="1" applyAlignment="1">
      <alignment horizontal="center"/>
    </xf>
    <xf numFmtId="44" fontId="0" fillId="0" borderId="0" xfId="0" applyNumberFormat="1" applyAlignment="1">
      <alignment horizont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164" fontId="6" fillId="0" borderId="0" xfId="3" applyNumberFormat="1" applyFont="1"/>
    <xf numFmtId="0" fontId="0" fillId="0" borderId="27" xfId="0" applyBorder="1" applyAlignment="1">
      <alignment horizontal="center"/>
    </xf>
    <xf numFmtId="44" fontId="0" fillId="0" borderId="28" xfId="0" applyNumberFormat="1" applyBorder="1"/>
    <xf numFmtId="0" fontId="3" fillId="3" borderId="4"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2" xfId="0" applyFont="1" applyFill="1" applyBorder="1" applyAlignment="1">
      <alignment horizontal="center" vertical="center"/>
    </xf>
    <xf numFmtId="0" fontId="3" fillId="8"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21" xfId="0" applyFont="1" applyFill="1" applyBorder="1" applyAlignment="1">
      <alignment horizontal="center" vertical="center"/>
    </xf>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0" fontId="20" fillId="5" borderId="14" xfId="0" applyFont="1" applyFill="1" applyBorder="1" applyAlignment="1">
      <alignment horizontal="left"/>
    </xf>
    <xf numFmtId="0" fontId="20" fillId="5" borderId="6" xfId="0" applyFont="1" applyFill="1" applyBorder="1" applyAlignment="1">
      <alignment horizontal="left"/>
    </xf>
    <xf numFmtId="0" fontId="21" fillId="6" borderId="0" xfId="0" applyFont="1" applyFill="1" applyBorder="1" applyAlignment="1">
      <alignment horizontal="left"/>
    </xf>
    <xf numFmtId="0" fontId="22" fillId="6" borderId="15" xfId="0" applyFont="1" applyFill="1" applyBorder="1" applyAlignment="1">
      <alignment horizontal="left"/>
    </xf>
    <xf numFmtId="0" fontId="21" fillId="6" borderId="1" xfId="0" applyFont="1" applyFill="1" applyBorder="1" applyAlignment="1">
      <alignment horizontal="left"/>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xf numFmtId="0" fontId="0" fillId="2" borderId="12" xfId="0" applyFill="1" applyBorder="1" applyAlignment="1">
      <alignment horizontal="center"/>
    </xf>
    <xf numFmtId="0" fontId="0" fillId="2" borderId="13" xfId="0" applyFill="1" applyBorder="1" applyAlignment="1">
      <alignment horizontal="center"/>
    </xf>
    <xf numFmtId="0" fontId="25" fillId="0" borderId="0" xfId="0" applyFont="1"/>
    <xf numFmtId="0" fontId="1" fillId="0" borderId="0" xfId="0" applyFont="1"/>
    <xf numFmtId="0" fontId="27" fillId="0" borderId="0" xfId="0" applyFont="1"/>
    <xf numFmtId="0" fontId="28" fillId="0" borderId="0" xfId="0" applyFont="1"/>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-83996</c:v>
                </c:pt>
                <c:pt idx="4">
                  <c:v>-72880</c:v>
                </c:pt>
                <c:pt idx="5">
                  <c:v>-62764</c:v>
                </c:pt>
                <c:pt idx="6">
                  <c:v>-54425</c:v>
                </c:pt>
                <c:pt idx="7">
                  <c:v>-42839.5</c:v>
                </c:pt>
                <c:pt idx="8">
                  <c:v>-29408.5</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9699.5</c:v>
                </c:pt>
                <c:pt idx="1">
                  <c:v>20304</c:v>
                </c:pt>
                <c:pt idx="2">
                  <c:v>31808</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75000"/>
          <c:min val="-10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a:t>
          </a:r>
          <a:r>
            <a:rPr lang="en-US" sz="1400" i="1" u="sng" baseline="0"/>
            <a:t>thousands</a:t>
          </a:r>
          <a:r>
            <a:rPr lang="en-US" sz="1400" baseline="0"/>
            <a:t>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2021)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You are given the data for a company for 12 months. The company uses short-term loans and marketable securities investments to bring the cash balance to the desired level 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 January.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The company expects to make an outlay for new capital equipment in May, June, July, or August. Create a drop-down list in </a:t>
          </a:r>
          <a:r>
            <a:rPr kumimoji="0" lang="en-US" sz="1200" b="1" i="1" u="sng" strike="noStrike" kern="0" cap="none" spc="0" normalizeH="0" baseline="0" noProof="0">
              <a:ln>
                <a:noFill/>
              </a:ln>
              <a:solidFill>
                <a:prstClr val="black"/>
              </a:solidFill>
              <a:effectLst/>
              <a:uLnTx/>
              <a:uFillTx/>
              <a:latin typeface="+mn-lt"/>
              <a:ea typeface="+mn-ea"/>
              <a:cs typeface="+mn-cs"/>
            </a:rPr>
            <a:t>Cell L24 </a:t>
          </a:r>
          <a:r>
            <a:rPr kumimoji="0" lang="en-US" sz="1200" b="1" i="0" u="none" strike="noStrike" kern="0" cap="none" spc="0" normalizeH="0" baseline="0" noProof="0">
              <a:ln>
                <a:noFill/>
              </a:ln>
              <a:solidFill>
                <a:prstClr val="black"/>
              </a:solidFill>
              <a:effectLst/>
              <a:uLnTx/>
              <a:uFillTx/>
              <a:latin typeface="+mn-lt"/>
              <a:ea typeface="+mn-ea"/>
              <a:cs typeface="+mn-cs"/>
            </a:rPr>
            <a:t>for the user to select the month of the outlay. Use this and other input information to complete the Cash Budget. Then complete the section that gives the balance of short-term loans at the end of each month in Row 52 and the balance of marketable securities at the end of each month in Row 53. The formulas should show positive balances when marketable securities are being used, and it should show zero when marketable securities are not being used.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Format the range F43:N43 (net cash flow) so that all values less than zero display as red numbers instead of black numbers </a:t>
          </a:r>
          <a:r>
            <a:rPr kumimoji="0" lang="en-US" sz="1200" b="1" i="1" u="sng" strike="noStrike" kern="0" cap="none" spc="0" normalizeH="0" baseline="0" noProof="0">
              <a:ln>
                <a:noFill/>
              </a:ln>
              <a:solidFill>
                <a:prstClr val="black"/>
              </a:solidFill>
              <a:effectLst/>
              <a:uLnTx/>
              <a:uFillTx/>
              <a:latin typeface="+mn-lt"/>
              <a:ea typeface="+mn-ea"/>
              <a:cs typeface="+mn-cs"/>
            </a:rPr>
            <a:t>for any values of the inputs</a:t>
          </a:r>
          <a:r>
            <a:rPr kumimoji="0" lang="en-US" sz="1200" b="1"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Name the input cells for collections Collect0, Collect1, and Collect 2. Then create and save three scenarios using the Scenario Manager that show the company's monthly net cash flow for April - December while changing the collection rates</a:t>
          </a:r>
          <a:r>
            <a:rPr kumimoji="0" lang="en-US" sz="1400" b="1" i="0" u="none" strike="noStrike" kern="0" cap="none" spc="0" normalizeH="0" baseline="0" noProof="0">
              <a:ln>
                <a:noFill/>
              </a:ln>
              <a:solidFill>
                <a:prstClr val="black"/>
              </a:solidFill>
              <a:effectLst/>
              <a:uLnTx/>
              <a:uFillTx/>
              <a:latin typeface="+mn-lt"/>
              <a:ea typeface="+mn-ea"/>
              <a:cs typeface="+mn-cs"/>
            </a:rPr>
            <a:t>. </a:t>
          </a:r>
          <a:r>
            <a:rPr kumimoji="0" lang="en-US" sz="1100" b="1" i="0" u="none" strike="noStrike" kern="0" cap="none" spc="0" normalizeH="0" baseline="0" noProof="0">
              <a:ln>
                <a:noFill/>
              </a:ln>
              <a:solidFill>
                <a:prstClr val="black"/>
              </a:solidFill>
              <a:effectLst/>
              <a:uLnTx/>
              <a:uFillTx/>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-$100,000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formulas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EAE7-9CF0-479A-A988-64DB4DBC66DD}">
  <dimension ref="B1:K55"/>
  <sheetViews>
    <sheetView showGridLines="0" tabSelected="1" workbookViewId="0"/>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45" t="s">
        <v>227</v>
      </c>
      <c r="C2" s="145"/>
      <c r="D2" s="145"/>
      <c r="E2" s="145"/>
      <c r="F2" s="97"/>
    </row>
    <row r="3" spans="2:6" ht="15.75" thickBot="1" x14ac:dyDescent="0.3">
      <c r="B3" s="145"/>
      <c r="C3" s="145"/>
      <c r="D3" s="145"/>
      <c r="E3" s="145"/>
    </row>
    <row r="4" spans="2:6" ht="15.75" thickBot="1" x14ac:dyDescent="0.3">
      <c r="B4" s="145" t="s">
        <v>228</v>
      </c>
      <c r="E4" s="146"/>
      <c r="F4" s="147"/>
    </row>
    <row r="5" spans="2:6" x14ac:dyDescent="0.25">
      <c r="B5" s="145"/>
    </row>
    <row r="6" spans="2:6" ht="18.75" x14ac:dyDescent="0.3">
      <c r="B6" s="45" t="s">
        <v>110</v>
      </c>
    </row>
    <row r="7" spans="2:6" ht="18.75" x14ac:dyDescent="0.3">
      <c r="B7" s="45" t="s">
        <v>229</v>
      </c>
    </row>
    <row r="8" spans="2:6" ht="18.75" x14ac:dyDescent="0.3">
      <c r="B8" s="45" t="s">
        <v>111</v>
      </c>
    </row>
    <row r="9" spans="2:6" ht="18.75" x14ac:dyDescent="0.3">
      <c r="B9" s="45"/>
    </row>
    <row r="10" spans="2:6" ht="18.75" x14ac:dyDescent="0.3">
      <c r="B10" s="45" t="s">
        <v>230</v>
      </c>
    </row>
    <row r="11" spans="2:6" ht="18.75" x14ac:dyDescent="0.3">
      <c r="B11" s="45"/>
    </row>
    <row r="12" spans="2:6" ht="18.75" x14ac:dyDescent="0.3">
      <c r="B12" s="45" t="s">
        <v>231</v>
      </c>
    </row>
    <row r="13" spans="2:6" ht="18.75" x14ac:dyDescent="0.3">
      <c r="B13" s="45" t="s">
        <v>232</v>
      </c>
    </row>
    <row r="14" spans="2:6" ht="18.75" x14ac:dyDescent="0.3">
      <c r="B14" s="45" t="s">
        <v>233</v>
      </c>
    </row>
    <row r="15" spans="2:6" ht="18.75" x14ac:dyDescent="0.3">
      <c r="B15" s="45" t="s">
        <v>234</v>
      </c>
    </row>
    <row r="16" spans="2:6" ht="18.75" x14ac:dyDescent="0.3">
      <c r="B16" s="45"/>
    </row>
    <row r="17" spans="2:2" ht="18.75" x14ac:dyDescent="0.3">
      <c r="B17" s="45" t="s">
        <v>112</v>
      </c>
    </row>
    <row r="18" spans="2:2" ht="18.75" x14ac:dyDescent="0.3">
      <c r="B18" s="45" t="s">
        <v>124</v>
      </c>
    </row>
    <row r="19" spans="2:2" ht="18.75" x14ac:dyDescent="0.3">
      <c r="B19" s="45"/>
    </row>
    <row r="20" spans="2:2" ht="18.75" x14ac:dyDescent="0.3">
      <c r="B20" s="45" t="s">
        <v>115</v>
      </c>
    </row>
    <row r="21" spans="2:2" ht="18.75" x14ac:dyDescent="0.3">
      <c r="B21" s="45" t="s">
        <v>116</v>
      </c>
    </row>
    <row r="22" spans="2:2" ht="18.75" x14ac:dyDescent="0.3">
      <c r="B22" s="45" t="s">
        <v>117</v>
      </c>
    </row>
    <row r="23" spans="2:2" ht="18.75" x14ac:dyDescent="0.3">
      <c r="B23" s="45"/>
    </row>
    <row r="24" spans="2:2" x14ac:dyDescent="0.25">
      <c r="B24" t="s">
        <v>125</v>
      </c>
    </row>
    <row r="25" spans="2:2" ht="18.75" x14ac:dyDescent="0.3">
      <c r="B25" s="45"/>
    </row>
    <row r="26" spans="2:2" x14ac:dyDescent="0.25">
      <c r="B26" t="s">
        <v>113</v>
      </c>
    </row>
    <row r="27" spans="2:2" ht="6" customHeight="1" x14ac:dyDescent="0.25"/>
    <row r="28" spans="2:2" x14ac:dyDescent="0.25">
      <c r="B28" t="s">
        <v>114</v>
      </c>
    </row>
    <row r="30" spans="2:2" x14ac:dyDescent="0.25">
      <c r="B30" t="s">
        <v>126</v>
      </c>
    </row>
    <row r="31" spans="2:2" x14ac:dyDescent="0.25">
      <c r="B31" t="s">
        <v>166</v>
      </c>
    </row>
    <row r="32" spans="2:2" x14ac:dyDescent="0.25">
      <c r="B32" t="s">
        <v>127</v>
      </c>
    </row>
    <row r="34" spans="2:11" ht="15.75" thickBot="1" x14ac:dyDescent="0.3">
      <c r="B34" s="1"/>
      <c r="C34" s="1"/>
      <c r="D34" s="1"/>
      <c r="E34" s="1"/>
      <c r="F34" s="1"/>
      <c r="G34" s="1"/>
      <c r="H34" s="1"/>
      <c r="I34" s="1"/>
      <c r="J34" s="1"/>
      <c r="K34" s="1"/>
    </row>
    <row r="35" spans="2:11" s="148" customFormat="1" ht="15.75" x14ac:dyDescent="0.25"/>
    <row r="36" spans="2:11" ht="18.75" x14ac:dyDescent="0.3">
      <c r="B36" s="45" t="s">
        <v>118</v>
      </c>
    </row>
    <row r="37" spans="2:11" ht="8.25" customHeight="1" x14ac:dyDescent="0.25"/>
    <row r="38" spans="2:11" s="149" customFormat="1" ht="28.5" x14ac:dyDescent="0.45">
      <c r="B38" t="s">
        <v>235</v>
      </c>
      <c r="C38" s="45" t="s">
        <v>236</v>
      </c>
    </row>
    <row r="39" spans="2:11" s="149" customFormat="1" ht="9" customHeight="1" x14ac:dyDescent="0.25">
      <c r="B39"/>
      <c r="C39"/>
    </row>
    <row r="40" spans="2:11" s="149" customFormat="1" ht="18.75" x14ac:dyDescent="0.3">
      <c r="B40" t="s">
        <v>235</v>
      </c>
      <c r="C40" s="150" t="s">
        <v>237</v>
      </c>
    </row>
    <row r="41" spans="2:11" s="149" customFormat="1" x14ac:dyDescent="0.25">
      <c r="B41"/>
      <c r="C41"/>
    </row>
    <row r="42" spans="2:11" s="149" customFormat="1" x14ac:dyDescent="0.25">
      <c r="B42"/>
      <c r="C42" s="151" t="s">
        <v>238</v>
      </c>
    </row>
    <row r="43" spans="2:11" s="149" customFormat="1" x14ac:dyDescent="0.25">
      <c r="B43" t="s">
        <v>235</v>
      </c>
      <c r="C43" t="s">
        <v>239</v>
      </c>
    </row>
    <row r="44" spans="2:11" s="149" customFormat="1" x14ac:dyDescent="0.25">
      <c r="B44" t="s">
        <v>235</v>
      </c>
      <c r="C44" t="s">
        <v>240</v>
      </c>
    </row>
    <row r="45" spans="2:11" s="149" customFormat="1" x14ac:dyDescent="0.25">
      <c r="B45" t="s">
        <v>235</v>
      </c>
      <c r="C45" t="s">
        <v>241</v>
      </c>
    </row>
    <row r="46" spans="2:11" s="149" customFormat="1" x14ac:dyDescent="0.25">
      <c r="B46"/>
      <c r="C46"/>
    </row>
    <row r="47" spans="2:11" s="149" customFormat="1" x14ac:dyDescent="0.25">
      <c r="B47"/>
      <c r="C47" s="151" t="s">
        <v>242</v>
      </c>
    </row>
    <row r="48" spans="2:11" s="149" customFormat="1" x14ac:dyDescent="0.25">
      <c r="B48" t="s">
        <v>235</v>
      </c>
      <c r="C48" t="s">
        <v>243</v>
      </c>
    </row>
    <row r="49" spans="2:3" s="149" customFormat="1" x14ac:dyDescent="0.25">
      <c r="B49"/>
      <c r="C49" t="s">
        <v>244</v>
      </c>
    </row>
    <row r="50" spans="2:3" s="149" customFormat="1" x14ac:dyDescent="0.25">
      <c r="B50" t="s">
        <v>235</v>
      </c>
      <c r="C50" t="s">
        <v>245</v>
      </c>
    </row>
    <row r="51" spans="2:3" s="149" customFormat="1" x14ac:dyDescent="0.25">
      <c r="B51" t="s">
        <v>235</v>
      </c>
      <c r="C51" t="s">
        <v>241</v>
      </c>
    </row>
    <row r="52" spans="2:3" s="149" customFormat="1" x14ac:dyDescent="0.25">
      <c r="B52"/>
      <c r="C52"/>
    </row>
    <row r="53" spans="2:3" s="149" customFormat="1" x14ac:dyDescent="0.25">
      <c r="B53"/>
      <c r="C53" s="151" t="s">
        <v>246</v>
      </c>
    </row>
    <row r="54" spans="2:3" s="149" customFormat="1" x14ac:dyDescent="0.25">
      <c r="B54" t="s">
        <v>235</v>
      </c>
      <c r="C54" t="s">
        <v>247</v>
      </c>
    </row>
    <row r="55" spans="2:3" x14ac:dyDescent="0.25">
      <c r="B55" t="s">
        <v>235</v>
      </c>
      <c r="C55" t="s">
        <v>128</v>
      </c>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showGridLines="0" zoomScaleNormal="100" workbookViewId="0">
      <selection activeCell="K39" sqref="K39"/>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24" customHeight="1" thickBot="1" x14ac:dyDescent="0.35">
      <c r="B2" s="136" t="s">
        <v>206</v>
      </c>
      <c r="C2" s="136"/>
      <c r="D2" s="136"/>
      <c r="I2" s="51"/>
      <c r="J2" s="52"/>
      <c r="K2" s="53"/>
      <c r="L2" s="54"/>
    </row>
    <row r="3" spans="2:12" s="2" customFormat="1" ht="18.75" customHeight="1" x14ac:dyDescent="0.25">
      <c r="B3" s="3" t="s">
        <v>0</v>
      </c>
      <c r="C3" s="3"/>
      <c r="D3" s="107">
        <v>0.25</v>
      </c>
      <c r="I3" s="55"/>
      <c r="J3" s="56" t="s">
        <v>64</v>
      </c>
      <c r="K3" s="57" t="s">
        <v>210</v>
      </c>
      <c r="L3" s="58"/>
    </row>
    <row r="4" spans="2:12" s="2" customFormat="1" x14ac:dyDescent="0.25">
      <c r="B4" s="3" t="s">
        <v>1</v>
      </c>
      <c r="C4" s="3"/>
      <c r="D4" s="103">
        <v>225000</v>
      </c>
      <c r="I4" s="55"/>
      <c r="J4" s="59"/>
      <c r="K4" s="57" t="s">
        <v>65</v>
      </c>
      <c r="L4" s="58"/>
    </row>
    <row r="5" spans="2:12" s="2" customFormat="1" x14ac:dyDescent="0.25">
      <c r="B5" s="3" t="s">
        <v>12</v>
      </c>
      <c r="C5" s="3"/>
      <c r="D5" s="104">
        <v>8853000</v>
      </c>
      <c r="I5" s="55"/>
      <c r="J5" s="59"/>
      <c r="K5" s="57" t="s">
        <v>211</v>
      </c>
      <c r="L5" s="58"/>
    </row>
    <row r="6" spans="2:12" s="2" customFormat="1" x14ac:dyDescent="0.25">
      <c r="B6" s="3" t="s">
        <v>2</v>
      </c>
      <c r="C6" s="3"/>
      <c r="D6" s="104">
        <v>950000</v>
      </c>
      <c r="I6" s="55"/>
      <c r="J6" s="59"/>
      <c r="K6" s="57" t="s">
        <v>67</v>
      </c>
      <c r="L6" s="58"/>
    </row>
    <row r="7" spans="2:12" s="2" customFormat="1" x14ac:dyDescent="0.25">
      <c r="B7" s="3" t="s">
        <v>4</v>
      </c>
      <c r="C7" s="3"/>
      <c r="D7" s="104">
        <v>725000</v>
      </c>
      <c r="I7" s="55"/>
      <c r="J7" s="57"/>
      <c r="K7" s="57"/>
      <c r="L7" s="58"/>
    </row>
    <row r="8" spans="2:12" s="2" customFormat="1" x14ac:dyDescent="0.25">
      <c r="B8" s="3" t="s">
        <v>5</v>
      </c>
      <c r="C8" s="3"/>
      <c r="D8" s="104">
        <v>225000</v>
      </c>
      <c r="I8" s="55"/>
      <c r="J8" s="56" t="s">
        <v>66</v>
      </c>
      <c r="K8" s="57" t="s">
        <v>212</v>
      </c>
      <c r="L8" s="58"/>
    </row>
    <row r="9" spans="2:12" s="2" customFormat="1" x14ac:dyDescent="0.25">
      <c r="B9" s="3" t="s">
        <v>3</v>
      </c>
      <c r="C9" s="3"/>
      <c r="D9" s="104">
        <v>1425000</v>
      </c>
      <c r="I9" s="55"/>
      <c r="J9" s="59"/>
      <c r="K9" s="57" t="s">
        <v>68</v>
      </c>
      <c r="L9" s="58"/>
    </row>
    <row r="10" spans="2:12" s="2" customFormat="1" x14ac:dyDescent="0.25">
      <c r="B10" s="3" t="s">
        <v>7</v>
      </c>
      <c r="C10" s="3"/>
      <c r="D10" s="104">
        <v>1885000</v>
      </c>
      <c r="I10" s="55"/>
      <c r="J10" s="59"/>
      <c r="K10" s="57"/>
      <c r="L10" s="58"/>
    </row>
    <row r="11" spans="2:12" s="2" customFormat="1" x14ac:dyDescent="0.25">
      <c r="B11" s="3" t="s">
        <v>8</v>
      </c>
      <c r="C11" s="3"/>
      <c r="D11" s="104">
        <v>1775000</v>
      </c>
      <c r="I11" s="55"/>
      <c r="J11" s="56" t="s">
        <v>69</v>
      </c>
      <c r="K11" s="57" t="s">
        <v>70</v>
      </c>
      <c r="L11" s="58"/>
    </row>
    <row r="12" spans="2:12" s="2" customFormat="1" x14ac:dyDescent="0.25">
      <c r="B12" s="3" t="s">
        <v>9</v>
      </c>
      <c r="C12" s="3"/>
      <c r="D12" s="104">
        <v>1020000</v>
      </c>
      <c r="I12" s="55"/>
      <c r="J12" s="59"/>
      <c r="K12" s="57" t="s">
        <v>71</v>
      </c>
      <c r="L12" s="58"/>
    </row>
    <row r="13" spans="2:12" s="2" customFormat="1" ht="15.75" thickBot="1" x14ac:dyDescent="0.3">
      <c r="B13" s="3" t="s">
        <v>6</v>
      </c>
      <c r="C13" s="3"/>
      <c r="D13" s="105">
        <v>0.75</v>
      </c>
      <c r="I13" s="60"/>
      <c r="J13" s="63"/>
      <c r="K13" s="62"/>
      <c r="L13" s="61"/>
    </row>
    <row r="14" spans="2:12" s="2" customFormat="1" ht="15.75" thickBot="1" x14ac:dyDescent="0.3">
      <c r="B14" s="5" t="s">
        <v>72</v>
      </c>
      <c r="C14" s="5"/>
      <c r="D14" s="106">
        <v>360000</v>
      </c>
      <c r="I14"/>
      <c r="J14"/>
      <c r="K14"/>
      <c r="L14"/>
    </row>
    <row r="15" spans="2:12" s="2" customFormat="1" ht="17.25" x14ac:dyDescent="0.4">
      <c r="B15" s="6" t="s">
        <v>225</v>
      </c>
      <c r="C15" s="6"/>
      <c r="D15" s="4"/>
      <c r="I15"/>
      <c r="J15"/>
      <c r="K15"/>
      <c r="L15"/>
    </row>
    <row r="16" spans="2:12" ht="15.75" thickBot="1" x14ac:dyDescent="0.3">
      <c r="B16" s="7" t="s">
        <v>226</v>
      </c>
      <c r="C16" s="7"/>
      <c r="D16" s="1"/>
    </row>
    <row r="17" spans="2:8" ht="15.75" thickBot="1" x14ac:dyDescent="0.3">
      <c r="B17" s="1"/>
      <c r="C17" s="1"/>
      <c r="D17" s="1"/>
      <c r="E17" s="1"/>
      <c r="F17" s="1"/>
      <c r="G17" s="1"/>
    </row>
    <row r="18" spans="2:8" ht="21" customHeight="1" x14ac:dyDescent="0.3">
      <c r="B18" s="137" t="s">
        <v>10</v>
      </c>
      <c r="C18" s="137"/>
      <c r="D18" s="137"/>
      <c r="E18" s="137"/>
      <c r="F18" s="137"/>
      <c r="G18" s="137"/>
    </row>
    <row r="19" spans="2:8" ht="21" customHeight="1" x14ac:dyDescent="0.3">
      <c r="B19" s="137" t="s">
        <v>207</v>
      </c>
      <c r="C19" s="137"/>
      <c r="D19" s="137"/>
      <c r="E19" s="137"/>
      <c r="F19" s="137"/>
      <c r="G19" s="137"/>
    </row>
    <row r="20" spans="2:8" ht="21" customHeight="1" thickBot="1" x14ac:dyDescent="0.35">
      <c r="B20" s="131" t="s">
        <v>11</v>
      </c>
      <c r="C20" s="131"/>
      <c r="D20" s="132"/>
      <c r="E20" s="132"/>
      <c r="F20" s="132"/>
      <c r="G20" s="132"/>
    </row>
    <row r="21" spans="2:8" ht="9" customHeight="1" x14ac:dyDescent="0.3">
      <c r="B21" s="8"/>
      <c r="C21" s="8"/>
      <c r="D21" s="8"/>
      <c r="E21" s="8"/>
      <c r="F21" s="8"/>
      <c r="G21" s="8"/>
    </row>
    <row r="22" spans="2:8" ht="17.25" x14ac:dyDescent="0.4">
      <c r="B22" s="2"/>
      <c r="C22" s="2"/>
      <c r="D22" s="125" t="s">
        <v>208</v>
      </c>
      <c r="E22" s="125" t="s">
        <v>209</v>
      </c>
      <c r="F22" s="125" t="s">
        <v>208</v>
      </c>
      <c r="G22" s="125" t="s">
        <v>209</v>
      </c>
    </row>
    <row r="23" spans="2:8" x14ac:dyDescent="0.25">
      <c r="B23" s="2" t="s">
        <v>12</v>
      </c>
      <c r="C23" s="2"/>
      <c r="D23" s="9">
        <v>7985</v>
      </c>
      <c r="E23" s="9">
        <v>7425</v>
      </c>
      <c r="F23" s="10">
        <f>D23/D$23</f>
        <v>1</v>
      </c>
      <c r="G23" s="10">
        <f>E23/E$23</f>
        <v>1</v>
      </c>
    </row>
    <row r="24" spans="2:8" ht="17.25" x14ac:dyDescent="0.4">
      <c r="B24" s="11" t="s">
        <v>13</v>
      </c>
      <c r="C24" s="11"/>
      <c r="D24" s="11">
        <f>E24/E23*D23</f>
        <v>3898.4006734006734</v>
      </c>
      <c r="E24" s="11">
        <v>3625</v>
      </c>
      <c r="F24" s="10">
        <f t="shared" ref="F24:G33" si="0">D24/D$23</f>
        <v>0.48821548821548821</v>
      </c>
      <c r="G24" s="10">
        <f t="shared" si="0"/>
        <v>0.48821548821548821</v>
      </c>
      <c r="H24" s="12"/>
    </row>
    <row r="25" spans="2:8" x14ac:dyDescent="0.25">
      <c r="B25" s="2" t="s">
        <v>14</v>
      </c>
      <c r="C25" s="2"/>
      <c r="D25" s="9">
        <f>D23-D24</f>
        <v>4086.5993265993266</v>
      </c>
      <c r="E25" s="9">
        <f>E23-E24</f>
        <v>3800</v>
      </c>
      <c r="F25" s="10">
        <f t="shared" si="0"/>
        <v>0.51178451178451179</v>
      </c>
      <c r="G25" s="10">
        <f t="shared" si="0"/>
        <v>0.51178451178451179</v>
      </c>
    </row>
    <row r="26" spans="2:8" x14ac:dyDescent="0.25">
      <c r="B26" s="2" t="s">
        <v>2</v>
      </c>
      <c r="C26" s="2"/>
      <c r="D26" s="2">
        <f>D6/1000</f>
        <v>950</v>
      </c>
      <c r="E26" s="2">
        <v>1025</v>
      </c>
      <c r="F26" s="10">
        <f t="shared" si="0"/>
        <v>0.11897307451471509</v>
      </c>
      <c r="G26" s="10">
        <f t="shared" si="0"/>
        <v>0.13804713804713806</v>
      </c>
    </row>
    <row r="27" spans="2:8" x14ac:dyDescent="0.25">
      <c r="B27" s="2" t="s">
        <v>3</v>
      </c>
      <c r="C27" s="2"/>
      <c r="D27" s="2">
        <f>D9/1000</f>
        <v>1425</v>
      </c>
      <c r="E27" s="2">
        <v>1250</v>
      </c>
      <c r="F27" s="10">
        <f t="shared" si="0"/>
        <v>0.17845961177207265</v>
      </c>
      <c r="G27" s="10">
        <f t="shared" si="0"/>
        <v>0.16835016835016836</v>
      </c>
    </row>
    <row r="28" spans="2:8" ht="17.25" x14ac:dyDescent="0.4">
      <c r="B28" s="11" t="s">
        <v>4</v>
      </c>
      <c r="C28" s="11"/>
      <c r="D28" s="11">
        <f>D7/1000</f>
        <v>725</v>
      </c>
      <c r="E28" s="11">
        <v>800</v>
      </c>
      <c r="F28" s="10">
        <f t="shared" si="0"/>
        <v>9.0795241077019417E-2</v>
      </c>
      <c r="G28" s="10">
        <f t="shared" si="0"/>
        <v>0.10774410774410774</v>
      </c>
    </row>
    <row r="29" spans="2:8" x14ac:dyDescent="0.25">
      <c r="B29" s="2" t="s">
        <v>15</v>
      </c>
      <c r="C29" s="2"/>
      <c r="D29" s="9">
        <f>D25-D26-D27-D28</f>
        <v>986.59932659932656</v>
      </c>
      <c r="E29" s="9">
        <f>E25-E26-E27-E28</f>
        <v>725</v>
      </c>
      <c r="F29" s="10">
        <f t="shared" si="0"/>
        <v>0.12355658442070463</v>
      </c>
      <c r="G29" s="10">
        <f t="shared" si="0"/>
        <v>9.7643097643097643E-2</v>
      </c>
    </row>
    <row r="30" spans="2:8" ht="17.25" x14ac:dyDescent="0.4">
      <c r="B30" s="11" t="s">
        <v>5</v>
      </c>
      <c r="C30" s="11"/>
      <c r="D30" s="11">
        <f>D8/1000</f>
        <v>225</v>
      </c>
      <c r="E30" s="11">
        <v>125</v>
      </c>
      <c r="F30" s="10">
        <f t="shared" si="0"/>
        <v>2.8177833437695678E-2</v>
      </c>
      <c r="G30" s="10">
        <f t="shared" si="0"/>
        <v>1.6835016835016835E-2</v>
      </c>
    </row>
    <row r="31" spans="2:8" x14ac:dyDescent="0.25">
      <c r="B31" s="2" t="s">
        <v>16</v>
      </c>
      <c r="C31" s="2"/>
      <c r="D31" s="9">
        <f>D29-D30</f>
        <v>761.59932659932656</v>
      </c>
      <c r="E31" s="9">
        <f>E29-E30</f>
        <v>600</v>
      </c>
      <c r="F31" s="10">
        <f t="shared" si="0"/>
        <v>9.5378750983008964E-2</v>
      </c>
      <c r="G31" s="10">
        <f t="shared" si="0"/>
        <v>8.0808080808080815E-2</v>
      </c>
    </row>
    <row r="32" spans="2:8" ht="17.25" x14ac:dyDescent="0.4">
      <c r="B32" s="11" t="s">
        <v>17</v>
      </c>
      <c r="C32" s="11"/>
      <c r="D32" s="11">
        <f>D31*D3</f>
        <v>190.39983164983164</v>
      </c>
      <c r="E32" s="11">
        <f>E31*D3</f>
        <v>150</v>
      </c>
      <c r="F32" s="10">
        <f t="shared" si="0"/>
        <v>2.3844687745752241E-2</v>
      </c>
      <c r="G32" s="10">
        <f t="shared" si="0"/>
        <v>2.0202020202020204E-2</v>
      </c>
    </row>
    <row r="33" spans="2:7" x14ac:dyDescent="0.25">
      <c r="B33" s="2" t="s">
        <v>18</v>
      </c>
      <c r="C33" s="2"/>
      <c r="D33" s="9">
        <f>D31-D32</f>
        <v>571.19949494949492</v>
      </c>
      <c r="E33" s="9">
        <f>E31-E32</f>
        <v>450</v>
      </c>
      <c r="F33" s="10">
        <f t="shared" si="0"/>
        <v>7.1534063237256723E-2</v>
      </c>
      <c r="G33" s="10">
        <f t="shared" si="0"/>
        <v>6.0606060606060608E-2</v>
      </c>
    </row>
    <row r="34" spans="2:7" ht="18" thickBot="1" x14ac:dyDescent="0.45">
      <c r="B34" s="11"/>
      <c r="C34" s="11"/>
      <c r="D34" s="11"/>
      <c r="E34" s="11"/>
      <c r="F34" s="10"/>
      <c r="G34" s="10"/>
    </row>
    <row r="35" spans="2:7" ht="15.75" thickBot="1" x14ac:dyDescent="0.3">
      <c r="B35" s="2" t="s">
        <v>19</v>
      </c>
      <c r="D35" s="27">
        <f>D33/D4*1000</f>
        <v>2.5386644219977552</v>
      </c>
      <c r="E35" s="9"/>
      <c r="F35" s="10"/>
      <c r="G35" s="10"/>
    </row>
    <row r="36" spans="2:7" ht="7.5" customHeight="1" x14ac:dyDescent="0.25">
      <c r="B36" s="2"/>
      <c r="C36" s="2"/>
      <c r="D36" s="9"/>
      <c r="E36" s="9"/>
    </row>
    <row r="37" spans="2:7" ht="7.5" customHeight="1" x14ac:dyDescent="0.25"/>
    <row r="38" spans="2:7" ht="7.5" customHeight="1" thickBot="1" x14ac:dyDescent="0.3">
      <c r="B38" s="1"/>
      <c r="C38" s="1"/>
      <c r="D38" s="1"/>
      <c r="E38" s="1"/>
      <c r="F38" s="1"/>
      <c r="G38" s="1"/>
    </row>
    <row r="39" spans="2:7" ht="18.75" x14ac:dyDescent="0.3">
      <c r="B39" s="137" t="s">
        <v>20</v>
      </c>
      <c r="C39" s="137"/>
      <c r="D39" s="137"/>
      <c r="E39" s="137"/>
      <c r="F39" s="137"/>
      <c r="G39" s="137"/>
    </row>
    <row r="40" spans="2:7" ht="18.75" x14ac:dyDescent="0.3">
      <c r="B40" s="137" t="s">
        <v>207</v>
      </c>
      <c r="C40" s="137"/>
      <c r="D40" s="137"/>
      <c r="E40" s="137"/>
      <c r="F40" s="137"/>
      <c r="G40" s="137"/>
    </row>
    <row r="41" spans="2:7" ht="19.5" thickBot="1" x14ac:dyDescent="0.35">
      <c r="B41" s="131" t="s">
        <v>11</v>
      </c>
      <c r="C41" s="131"/>
      <c r="D41" s="132"/>
      <c r="E41" s="132"/>
      <c r="F41" s="132"/>
      <c r="G41" s="132"/>
    </row>
    <row r="42" spans="2:7" ht="18.75" x14ac:dyDescent="0.3">
      <c r="B42" s="13"/>
      <c r="C42" s="13"/>
      <c r="D42" s="8"/>
      <c r="E42" s="8"/>
      <c r="F42" s="8"/>
      <c r="G42" s="8"/>
    </row>
    <row r="43" spans="2:7" ht="17.25" x14ac:dyDescent="0.4">
      <c r="D43" s="125" t="s">
        <v>208</v>
      </c>
      <c r="E43" s="125" t="s">
        <v>209</v>
      </c>
      <c r="F43" s="125" t="s">
        <v>208</v>
      </c>
      <c r="G43" s="125" t="s">
        <v>209</v>
      </c>
    </row>
    <row r="44" spans="2:7" x14ac:dyDescent="0.25">
      <c r="B44" s="14" t="s">
        <v>21</v>
      </c>
      <c r="C44" s="2"/>
      <c r="D44" s="15">
        <f>D49-D48-D47-D46-D45</f>
        <v>7112.4494949494947</v>
      </c>
      <c r="E44" s="15">
        <f>E49-E48-E47-E46-E45</f>
        <v>6706</v>
      </c>
      <c r="F44" s="10">
        <f>D44/D$67</f>
        <v>0.42969165966158995</v>
      </c>
      <c r="G44" s="10">
        <f>E44/E$67</f>
        <v>0.41293103448275864</v>
      </c>
    </row>
    <row r="45" spans="2:7" x14ac:dyDescent="0.25">
      <c r="B45" s="14" t="s">
        <v>91</v>
      </c>
      <c r="C45" s="2"/>
      <c r="D45" s="47">
        <v>675</v>
      </c>
      <c r="E45" s="2">
        <v>525</v>
      </c>
      <c r="F45" s="10">
        <f t="shared" ref="F45:G67" si="1">D45/D$67</f>
        <v>4.0779462894960462E-2</v>
      </c>
      <c r="G45" s="10">
        <f t="shared" si="1"/>
        <v>3.2327586206896554E-2</v>
      </c>
    </row>
    <row r="46" spans="2:7" x14ac:dyDescent="0.25">
      <c r="B46" s="14" t="s">
        <v>22</v>
      </c>
      <c r="C46" s="2"/>
      <c r="D46" s="2">
        <f>D10/1000</f>
        <v>1885</v>
      </c>
      <c r="E46" s="2">
        <v>2190</v>
      </c>
      <c r="F46" s="10">
        <f t="shared" si="1"/>
        <v>0.11388042601037107</v>
      </c>
      <c r="G46" s="10">
        <f t="shared" si="1"/>
        <v>0.13485221674876846</v>
      </c>
    </row>
    <row r="47" spans="2:7" x14ac:dyDescent="0.25">
      <c r="B47" s="14" t="s">
        <v>8</v>
      </c>
      <c r="C47" s="2"/>
      <c r="D47" s="2">
        <f>D11/1000</f>
        <v>1775</v>
      </c>
      <c r="E47" s="2">
        <v>1469</v>
      </c>
      <c r="F47" s="10">
        <f t="shared" si="1"/>
        <v>0.10723488390897011</v>
      </c>
      <c r="G47" s="10">
        <f t="shared" si="1"/>
        <v>9.0455665024630538E-2</v>
      </c>
    </row>
    <row r="48" spans="2:7" ht="17.25" x14ac:dyDescent="0.4">
      <c r="B48" s="16" t="s">
        <v>23</v>
      </c>
      <c r="C48" s="2"/>
      <c r="D48" s="48">
        <v>380</v>
      </c>
      <c r="E48" s="11">
        <v>420</v>
      </c>
      <c r="F48" s="10">
        <f t="shared" si="1"/>
        <v>2.2957327259385152E-2</v>
      </c>
      <c r="G48" s="10">
        <f t="shared" si="1"/>
        <v>2.5862068965517241E-2</v>
      </c>
    </row>
    <row r="49" spans="2:7" x14ac:dyDescent="0.25">
      <c r="B49" s="17" t="s">
        <v>24</v>
      </c>
      <c r="C49" s="17"/>
      <c r="D49" s="18">
        <f>D54-D53-D52</f>
        <v>11827.449494949495</v>
      </c>
      <c r="E49" s="18">
        <f>E54-E53-E52</f>
        <v>11310</v>
      </c>
      <c r="F49" s="10">
        <f t="shared" si="1"/>
        <v>0.71454375973527673</v>
      </c>
      <c r="G49" s="10">
        <f t="shared" si="1"/>
        <v>0.6964285714285714</v>
      </c>
    </row>
    <row r="50" spans="2:7" x14ac:dyDescent="0.25">
      <c r="B50" s="14" t="s">
        <v>25</v>
      </c>
      <c r="C50" s="2"/>
      <c r="D50" s="2">
        <f>E50+D14/1000</f>
        <v>8055</v>
      </c>
      <c r="E50" s="2">
        <v>7695</v>
      </c>
      <c r="F50" s="10">
        <f t="shared" si="1"/>
        <v>0.48663492387986157</v>
      </c>
      <c r="G50" s="10">
        <f t="shared" si="1"/>
        <v>0.47383004926108374</v>
      </c>
    </row>
    <row r="51" spans="2:7" ht="17.25" x14ac:dyDescent="0.4">
      <c r="B51" s="16" t="s">
        <v>26</v>
      </c>
      <c r="C51" s="2"/>
      <c r="D51" s="11">
        <f>E51+D28</f>
        <v>4315</v>
      </c>
      <c r="E51" s="11">
        <v>3590</v>
      </c>
      <c r="F51" s="10">
        <f t="shared" si="1"/>
        <v>0.26068649243222874</v>
      </c>
      <c r="G51" s="10">
        <f t="shared" si="1"/>
        <v>0.2210591133004926</v>
      </c>
    </row>
    <row r="52" spans="2:7" x14ac:dyDescent="0.25">
      <c r="B52" s="17" t="s">
        <v>27</v>
      </c>
      <c r="C52" s="2"/>
      <c r="D52" s="18">
        <f>D50-D51</f>
        <v>3740</v>
      </c>
      <c r="E52" s="18">
        <f>E50-E51</f>
        <v>4105</v>
      </c>
      <c r="F52" s="10">
        <f t="shared" si="1"/>
        <v>0.2259484314476328</v>
      </c>
      <c r="G52" s="10">
        <f t="shared" si="1"/>
        <v>0.25277093596059114</v>
      </c>
    </row>
    <row r="53" spans="2:7" ht="17.25" x14ac:dyDescent="0.4">
      <c r="B53" s="19" t="s">
        <v>28</v>
      </c>
      <c r="C53" s="2"/>
      <c r="D53" s="48">
        <v>985</v>
      </c>
      <c r="E53" s="11">
        <v>825</v>
      </c>
      <c r="F53" s="10">
        <f t="shared" si="1"/>
        <v>5.9507808817090453E-2</v>
      </c>
      <c r="G53" s="10">
        <f t="shared" si="1"/>
        <v>5.0800492610837439E-2</v>
      </c>
    </row>
    <row r="54" spans="2:7" x14ac:dyDescent="0.25">
      <c r="B54" s="20" t="s">
        <v>29</v>
      </c>
      <c r="C54" s="20"/>
      <c r="D54" s="21">
        <f>D67</f>
        <v>16552.449494949495</v>
      </c>
      <c r="E54" s="21">
        <f>E67</f>
        <v>16240</v>
      </c>
      <c r="F54" s="10">
        <f t="shared" si="1"/>
        <v>1</v>
      </c>
      <c r="G54" s="10">
        <f t="shared" si="1"/>
        <v>1</v>
      </c>
    </row>
    <row r="55" spans="2:7" x14ac:dyDescent="0.25">
      <c r="B55" s="2"/>
      <c r="C55" s="2"/>
      <c r="D55" s="2"/>
      <c r="E55" s="2"/>
      <c r="F55" s="10"/>
      <c r="G55" s="10"/>
    </row>
    <row r="56" spans="2:7" x14ac:dyDescent="0.25">
      <c r="B56" s="14" t="s">
        <v>30</v>
      </c>
      <c r="C56" s="2"/>
      <c r="D56" s="15">
        <f>D12/1000</f>
        <v>1020</v>
      </c>
      <c r="E56" s="15">
        <v>1045</v>
      </c>
      <c r="F56" s="10">
        <f t="shared" si="1"/>
        <v>6.1622299485718034E-2</v>
      </c>
      <c r="G56" s="10">
        <f t="shared" si="1"/>
        <v>6.4347290640394086E-2</v>
      </c>
    </row>
    <row r="57" spans="2:7" x14ac:dyDescent="0.25">
      <c r="B57" s="14" t="s">
        <v>31</v>
      </c>
      <c r="C57" s="2"/>
      <c r="D57" s="47">
        <v>115</v>
      </c>
      <c r="E57" s="2">
        <v>145</v>
      </c>
      <c r="F57" s="10">
        <f t="shared" si="1"/>
        <v>6.9476121969191899E-3</v>
      </c>
      <c r="G57" s="10">
        <f t="shared" si="1"/>
        <v>8.9285714285714281E-3</v>
      </c>
    </row>
    <row r="58" spans="2:7" x14ac:dyDescent="0.25">
      <c r="B58" s="14" t="s">
        <v>32</v>
      </c>
      <c r="C58" s="2"/>
      <c r="D58" s="47">
        <v>245</v>
      </c>
      <c r="E58" s="2">
        <v>360</v>
      </c>
      <c r="F58" s="10">
        <f t="shared" si="1"/>
        <v>1.4801434680393058E-2</v>
      </c>
      <c r="G58" s="10">
        <f t="shared" si="1"/>
        <v>2.2167487684729065E-2</v>
      </c>
    </row>
    <row r="59" spans="2:7" ht="17.25" x14ac:dyDescent="0.4">
      <c r="B59" s="16" t="s">
        <v>33</v>
      </c>
      <c r="C59" s="2"/>
      <c r="D59" s="48">
        <v>450</v>
      </c>
      <c r="E59" s="11">
        <v>570</v>
      </c>
      <c r="F59" s="10">
        <f t="shared" si="1"/>
        <v>2.7186308596640309E-2</v>
      </c>
      <c r="G59" s="10">
        <f t="shared" si="1"/>
        <v>3.5098522167487683E-2</v>
      </c>
    </row>
    <row r="60" spans="2:7" x14ac:dyDescent="0.25">
      <c r="B60" s="17" t="s">
        <v>34</v>
      </c>
      <c r="C60" s="2"/>
      <c r="D60" s="18">
        <f>SUM(D56:D59)</f>
        <v>1830</v>
      </c>
      <c r="E60" s="18">
        <f>SUM(E56:E59)</f>
        <v>2120</v>
      </c>
      <c r="F60" s="10">
        <f t="shared" si="1"/>
        <v>0.1105576549596706</v>
      </c>
      <c r="G60" s="10">
        <f t="shared" si="1"/>
        <v>0.13054187192118227</v>
      </c>
    </row>
    <row r="61" spans="2:7" ht="17.25" x14ac:dyDescent="0.4">
      <c r="B61" s="16" t="s">
        <v>35</v>
      </c>
      <c r="C61" s="2"/>
      <c r="D61" s="48">
        <v>4050</v>
      </c>
      <c r="E61" s="11">
        <v>3850</v>
      </c>
      <c r="F61" s="10">
        <f t="shared" si="1"/>
        <v>0.24467677736976279</v>
      </c>
      <c r="G61" s="10">
        <f t="shared" si="1"/>
        <v>0.23706896551724138</v>
      </c>
    </row>
    <row r="62" spans="2:7" x14ac:dyDescent="0.25">
      <c r="B62" s="17" t="s">
        <v>36</v>
      </c>
      <c r="C62" s="2"/>
      <c r="D62" s="18">
        <f>D60+D61</f>
        <v>5880</v>
      </c>
      <c r="E62" s="18">
        <f>E60+E61</f>
        <v>5970</v>
      </c>
      <c r="F62" s="10">
        <f t="shared" si="1"/>
        <v>0.35523443232943336</v>
      </c>
      <c r="G62" s="10">
        <f t="shared" si="1"/>
        <v>0.36761083743842365</v>
      </c>
    </row>
    <row r="63" spans="2:7" x14ac:dyDescent="0.25">
      <c r="B63" s="14" t="s">
        <v>37</v>
      </c>
      <c r="C63" s="2"/>
      <c r="D63" s="47">
        <v>4525</v>
      </c>
      <c r="E63" s="2">
        <v>4525</v>
      </c>
      <c r="F63" s="10">
        <f t="shared" si="1"/>
        <v>0.2733734364439942</v>
      </c>
      <c r="G63" s="10">
        <f t="shared" si="1"/>
        <v>0.27863300492610837</v>
      </c>
    </row>
    <row r="64" spans="2:7" x14ac:dyDescent="0.25">
      <c r="B64" s="14" t="s">
        <v>38</v>
      </c>
      <c r="C64" s="2"/>
      <c r="D64" s="47">
        <v>1450</v>
      </c>
      <c r="E64" s="2">
        <v>1450</v>
      </c>
      <c r="F64" s="10">
        <f t="shared" si="1"/>
        <v>8.7600327700285446E-2</v>
      </c>
      <c r="G64" s="10">
        <f t="shared" si="1"/>
        <v>8.9285714285714288E-2</v>
      </c>
    </row>
    <row r="65" spans="2:7" ht="17.25" x14ac:dyDescent="0.4">
      <c r="B65" s="16" t="s">
        <v>39</v>
      </c>
      <c r="C65" s="2"/>
      <c r="D65" s="11">
        <f>D33-(D13*D4/1000)+E65</f>
        <v>4697.4494949494947</v>
      </c>
      <c r="E65" s="11">
        <v>4295</v>
      </c>
      <c r="F65" s="10">
        <f t="shared" si="1"/>
        <v>0.28379180352628697</v>
      </c>
      <c r="G65" s="10">
        <f t="shared" si="1"/>
        <v>0.26447044334975367</v>
      </c>
    </row>
    <row r="66" spans="2:7" ht="17.25" x14ac:dyDescent="0.4">
      <c r="B66" s="22" t="s">
        <v>40</v>
      </c>
      <c r="C66" s="2"/>
      <c r="D66" s="23">
        <f>D63+D64+D65</f>
        <v>10672.449494949495</v>
      </c>
      <c r="E66" s="23">
        <f>E63+E64+E65</f>
        <v>10270</v>
      </c>
      <c r="F66" s="10">
        <f t="shared" si="1"/>
        <v>0.64476556767056659</v>
      </c>
      <c r="G66" s="10">
        <f t="shared" si="1"/>
        <v>0.6323891625615764</v>
      </c>
    </row>
    <row r="67" spans="2:7" x14ac:dyDescent="0.25">
      <c r="B67" s="20" t="s">
        <v>41</v>
      </c>
      <c r="C67" s="20"/>
      <c r="D67" s="21">
        <f>D66+D62</f>
        <v>16552.449494949495</v>
      </c>
      <c r="E67" s="21">
        <f>E66+E62</f>
        <v>16240</v>
      </c>
      <c r="F67" s="10">
        <f t="shared" si="1"/>
        <v>1</v>
      </c>
      <c r="G67" s="10">
        <f t="shared" si="1"/>
        <v>1</v>
      </c>
    </row>
    <row r="68" spans="2:7" ht="15.75" thickBot="1" x14ac:dyDescent="0.3">
      <c r="B68" s="24"/>
      <c r="C68" s="24"/>
      <c r="D68" s="25"/>
      <c r="E68" s="25"/>
    </row>
    <row r="69" spans="2:7" ht="18.75" x14ac:dyDescent="0.3">
      <c r="B69" s="133" t="s">
        <v>42</v>
      </c>
      <c r="C69" s="133"/>
      <c r="D69" s="133"/>
      <c r="E69" s="133"/>
    </row>
    <row r="70" spans="2:7" ht="19.5" thickBot="1" x14ac:dyDescent="0.35">
      <c r="B70" s="134" t="s">
        <v>11</v>
      </c>
      <c r="C70" s="134"/>
      <c r="D70" s="134"/>
      <c r="E70" s="134"/>
    </row>
    <row r="72" spans="2:7" ht="17.25" x14ac:dyDescent="0.4">
      <c r="D72" s="135" t="s">
        <v>208</v>
      </c>
      <c r="E72" s="135"/>
    </row>
    <row r="73" spans="2:7" ht="15.75" x14ac:dyDescent="0.25">
      <c r="B73" s="26" t="s">
        <v>43</v>
      </c>
      <c r="C73" s="2"/>
      <c r="D73" s="2"/>
    </row>
    <row r="74" spans="2:7" x14ac:dyDescent="0.25">
      <c r="B74" s="14" t="s">
        <v>44</v>
      </c>
      <c r="C74" s="2"/>
      <c r="D74" s="2"/>
    </row>
    <row r="75" spans="2:7" x14ac:dyDescent="0.25">
      <c r="B75" s="14" t="s">
        <v>45</v>
      </c>
      <c r="C75" s="2"/>
    </row>
    <row r="76" spans="2:7" x14ac:dyDescent="0.25">
      <c r="B76" s="14" t="s">
        <v>46</v>
      </c>
      <c r="C76" s="2"/>
      <c r="D76" s="46">
        <f>E45-D45</f>
        <v>-150</v>
      </c>
    </row>
    <row r="77" spans="2:7" x14ac:dyDescent="0.25">
      <c r="B77" s="14" t="s">
        <v>47</v>
      </c>
      <c r="C77" s="2"/>
      <c r="D77" s="46">
        <f>E46-D46</f>
        <v>305</v>
      </c>
    </row>
    <row r="78" spans="2:7" x14ac:dyDescent="0.25">
      <c r="B78" s="14" t="s">
        <v>48</v>
      </c>
      <c r="C78" s="2"/>
    </row>
    <row r="79" spans="2:7" x14ac:dyDescent="0.25">
      <c r="B79" s="14" t="s">
        <v>49</v>
      </c>
      <c r="C79" s="2"/>
    </row>
    <row r="80" spans="2:7" x14ac:dyDescent="0.25">
      <c r="B80" s="14" t="s">
        <v>50</v>
      </c>
      <c r="C80" s="2"/>
    </row>
    <row r="81" spans="2:4" ht="17.25" x14ac:dyDescent="0.4">
      <c r="B81" s="16" t="s">
        <v>51</v>
      </c>
      <c r="C81" s="2"/>
      <c r="D81" s="46">
        <f>D59-E59</f>
        <v>-120</v>
      </c>
    </row>
    <row r="82" spans="2:4" x14ac:dyDescent="0.25">
      <c r="B82" s="17" t="s">
        <v>52</v>
      </c>
      <c r="C82" s="17"/>
      <c r="D82" s="17"/>
    </row>
    <row r="83" spans="2:4" x14ac:dyDescent="0.25">
      <c r="B83" s="2"/>
      <c r="C83" s="2"/>
      <c r="D83" s="2"/>
    </row>
    <row r="84" spans="2:4" x14ac:dyDescent="0.25">
      <c r="B84" s="17" t="s">
        <v>53</v>
      </c>
      <c r="C84" s="2"/>
      <c r="D84" s="2"/>
    </row>
    <row r="85" spans="2:4" x14ac:dyDescent="0.25">
      <c r="B85" s="14" t="s">
        <v>54</v>
      </c>
      <c r="C85" s="2"/>
      <c r="D85" s="46">
        <f>E50-D50</f>
        <v>-360</v>
      </c>
    </row>
    <row r="86" spans="2:4" ht="17.25" x14ac:dyDescent="0.4">
      <c r="B86" s="16" t="s">
        <v>55</v>
      </c>
      <c r="C86" s="2"/>
    </row>
    <row r="87" spans="2:4" x14ac:dyDescent="0.25">
      <c r="B87" s="17" t="s">
        <v>56</v>
      </c>
      <c r="C87" s="17"/>
      <c r="D87" s="17"/>
    </row>
    <row r="88" spans="2:4" x14ac:dyDescent="0.25">
      <c r="B88" s="2"/>
      <c r="C88" s="2"/>
    </row>
    <row r="89" spans="2:4" x14ac:dyDescent="0.25">
      <c r="B89" s="17" t="s">
        <v>57</v>
      </c>
      <c r="C89" s="2"/>
      <c r="D89" s="2"/>
    </row>
    <row r="90" spans="2:4" x14ac:dyDescent="0.25">
      <c r="B90" s="14" t="s">
        <v>97</v>
      </c>
      <c r="C90" s="2"/>
      <c r="D90" s="46">
        <f>D57-E57</f>
        <v>-30</v>
      </c>
    </row>
    <row r="91" spans="2:4" x14ac:dyDescent="0.25">
      <c r="B91" s="14" t="s">
        <v>58</v>
      </c>
      <c r="C91" s="2"/>
    </row>
    <row r="92" spans="2:4" x14ac:dyDescent="0.25">
      <c r="B92" s="14" t="s">
        <v>59</v>
      </c>
      <c r="C92" s="2"/>
    </row>
    <row r="93" spans="2:4" x14ac:dyDescent="0.25">
      <c r="B93" s="14" t="s">
        <v>60</v>
      </c>
      <c r="C93" s="2"/>
      <c r="D93" s="17"/>
    </row>
    <row r="94" spans="2:4" ht="17.25" x14ac:dyDescent="0.4">
      <c r="B94" s="16" t="s">
        <v>61</v>
      </c>
      <c r="C94" s="2"/>
      <c r="D94" s="46">
        <f>-D13*D4/1000</f>
        <v>-168.75</v>
      </c>
    </row>
    <row r="95" spans="2:4" x14ac:dyDescent="0.25">
      <c r="B95" s="17" t="s">
        <v>62</v>
      </c>
      <c r="C95" s="2"/>
      <c r="D95" s="17"/>
    </row>
    <row r="96" spans="2:4" x14ac:dyDescent="0.25">
      <c r="B96" s="2"/>
      <c r="C96" s="2"/>
      <c r="D96" s="2"/>
    </row>
    <row r="97" spans="2:4" x14ac:dyDescent="0.25">
      <c r="B97" s="20" t="s">
        <v>63</v>
      </c>
      <c r="C97" s="20"/>
      <c r="D97" s="20"/>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topLeftCell="A28" zoomScaleNormal="100" workbookViewId="0">
      <selection activeCell="F48" sqref="F48"/>
    </sheetView>
  </sheetViews>
  <sheetFormatPr defaultRowHeight="15" x14ac:dyDescent="0.25"/>
  <cols>
    <col min="2" max="2" width="33.42578125" customWidth="1"/>
    <col min="5" max="14" width="9.85546875" customWidth="1"/>
  </cols>
  <sheetData>
    <row r="19" spans="2:20" ht="15.75" thickBot="1" x14ac:dyDescent="0.3"/>
    <row r="20" spans="2:20" ht="22.5" customHeight="1" thickBot="1" x14ac:dyDescent="0.3">
      <c r="B20" s="138" t="s">
        <v>92</v>
      </c>
      <c r="C20" s="139"/>
      <c r="D20" s="139"/>
      <c r="E20" s="139"/>
      <c r="F20" s="139"/>
      <c r="G20" s="139"/>
      <c r="H20" s="139"/>
      <c r="I20" s="139"/>
      <c r="J20" s="139"/>
      <c r="K20" s="139"/>
      <c r="L20" s="139"/>
      <c r="M20" s="139"/>
      <c r="N20" s="140"/>
    </row>
    <row r="21" spans="2:20" ht="15.75" thickBot="1" x14ac:dyDescent="0.3"/>
    <row r="22" spans="2:20" ht="15.75" thickBot="1" x14ac:dyDescent="0.3">
      <c r="B22" s="29" t="s">
        <v>98</v>
      </c>
      <c r="C22" s="4"/>
      <c r="F22" s="40">
        <v>0.45</v>
      </c>
      <c r="H22" s="29" t="s">
        <v>99</v>
      </c>
      <c r="L22" s="39">
        <v>125000</v>
      </c>
    </row>
    <row r="23" spans="2:20" ht="15.75" thickBot="1" x14ac:dyDescent="0.3">
      <c r="B23" s="29" t="s">
        <v>100</v>
      </c>
      <c r="C23" s="4"/>
      <c r="F23" s="40">
        <v>0.2</v>
      </c>
      <c r="T23" t="s">
        <v>77</v>
      </c>
    </row>
    <row r="24" spans="2:20" ht="15.75" thickBot="1" x14ac:dyDescent="0.3">
      <c r="B24" s="29" t="s">
        <v>101</v>
      </c>
      <c r="C24" s="4"/>
      <c r="F24" s="40">
        <v>0.35</v>
      </c>
      <c r="H24" s="29" t="s">
        <v>102</v>
      </c>
      <c r="L24" s="34" t="s">
        <v>130</v>
      </c>
      <c r="T24" t="s">
        <v>129</v>
      </c>
    </row>
    <row r="25" spans="2:20" ht="15.75" thickBot="1" x14ac:dyDescent="0.3">
      <c r="B25" s="32"/>
      <c r="C25" s="4"/>
      <c r="T25" t="s">
        <v>130</v>
      </c>
    </row>
    <row r="26" spans="2:20" ht="15.75" thickBot="1" x14ac:dyDescent="0.3">
      <c r="B26" s="29" t="s">
        <v>103</v>
      </c>
      <c r="C26" s="4"/>
      <c r="F26" s="40">
        <v>0.25</v>
      </c>
      <c r="H26" s="29" t="s">
        <v>93</v>
      </c>
      <c r="L26" s="39">
        <v>25000</v>
      </c>
      <c r="T26" t="s">
        <v>131</v>
      </c>
    </row>
    <row r="27" spans="2:20" x14ac:dyDescent="0.25">
      <c r="C27" s="4"/>
    </row>
    <row r="28" spans="2:20" ht="17.25" x14ac:dyDescent="0.4">
      <c r="B28" s="32"/>
      <c r="C28" s="38" t="s">
        <v>73</v>
      </c>
      <c r="D28" s="38" t="s">
        <v>74</v>
      </c>
      <c r="E28" s="38" t="s">
        <v>75</v>
      </c>
      <c r="F28" s="38" t="s">
        <v>76</v>
      </c>
      <c r="G28" s="38" t="s">
        <v>77</v>
      </c>
      <c r="H28" s="38" t="s">
        <v>78</v>
      </c>
      <c r="I28" s="38" t="s">
        <v>79</v>
      </c>
      <c r="J28" s="38" t="s">
        <v>80</v>
      </c>
      <c r="K28" s="38" t="s">
        <v>81</v>
      </c>
      <c r="L28" s="38" t="s">
        <v>82</v>
      </c>
      <c r="M28" s="38" t="s">
        <v>83</v>
      </c>
      <c r="N28" s="38" t="s">
        <v>84</v>
      </c>
    </row>
    <row r="29" spans="2:20" x14ac:dyDescent="0.25">
      <c r="B29" s="29" t="s">
        <v>104</v>
      </c>
      <c r="C29" s="41">
        <v>12500</v>
      </c>
      <c r="D29" s="41">
        <v>14850</v>
      </c>
      <c r="E29" s="41">
        <v>16950</v>
      </c>
      <c r="F29" s="4">
        <v>18560</v>
      </c>
      <c r="G29" s="4">
        <v>19800</v>
      </c>
      <c r="H29" s="4">
        <v>20240</v>
      </c>
      <c r="I29" s="4">
        <v>17240</v>
      </c>
      <c r="J29" s="4">
        <v>17920</v>
      </c>
      <c r="K29" s="4">
        <v>17490</v>
      </c>
      <c r="L29" s="4">
        <v>19220</v>
      </c>
      <c r="M29" s="4">
        <v>23100</v>
      </c>
      <c r="N29" s="4">
        <v>25420</v>
      </c>
    </row>
    <row r="30" spans="2:20" x14ac:dyDescent="0.25">
      <c r="C30" s="4"/>
      <c r="D30" s="4"/>
      <c r="E30" s="4"/>
      <c r="F30" s="4"/>
      <c r="G30" s="4"/>
      <c r="H30" s="4"/>
      <c r="I30" s="4"/>
      <c r="J30" s="4"/>
      <c r="K30" s="4"/>
      <c r="L30" s="4"/>
      <c r="M30" s="4"/>
      <c r="N30" s="4"/>
    </row>
    <row r="31" spans="2:20" x14ac:dyDescent="0.25">
      <c r="B31" s="32" t="s">
        <v>105</v>
      </c>
      <c r="C31" s="4"/>
      <c r="D31" s="4"/>
      <c r="E31" s="4"/>
      <c r="F31" s="43">
        <f t="shared" ref="F31:N31" si="0">F29*Collect0+E29*Collect1+D29*Collect2</f>
        <v>16939.5</v>
      </c>
      <c r="G31" s="43">
        <f t="shared" si="0"/>
        <v>18554.5</v>
      </c>
      <c r="H31" s="43">
        <f t="shared" si="0"/>
        <v>19564</v>
      </c>
      <c r="I31" s="43">
        <f t="shared" si="0"/>
        <v>18736</v>
      </c>
      <c r="J31" s="43">
        <f t="shared" si="0"/>
        <v>18596</v>
      </c>
      <c r="K31" s="43">
        <f t="shared" si="0"/>
        <v>17488.5</v>
      </c>
      <c r="L31" s="43">
        <f t="shared" si="0"/>
        <v>18419</v>
      </c>
      <c r="M31" s="43">
        <f t="shared" si="0"/>
        <v>20360.5</v>
      </c>
      <c r="N31" s="43">
        <f t="shared" si="0"/>
        <v>22786</v>
      </c>
    </row>
    <row r="32" spans="2:20" x14ac:dyDescent="0.25">
      <c r="B32" s="32"/>
      <c r="C32" s="4"/>
      <c r="D32" s="4"/>
      <c r="E32" s="4"/>
      <c r="F32" s="4"/>
      <c r="G32" s="4"/>
      <c r="H32" s="4"/>
      <c r="I32" s="4"/>
      <c r="J32" s="4"/>
      <c r="K32" s="4"/>
      <c r="L32" s="4"/>
      <c r="M32" s="4"/>
      <c r="N32" s="4"/>
    </row>
    <row r="33" spans="2:15" x14ac:dyDescent="0.25">
      <c r="B33" s="32" t="s">
        <v>106</v>
      </c>
      <c r="C33" s="4"/>
      <c r="D33" s="4"/>
      <c r="E33" s="4"/>
      <c r="F33" s="43">
        <f>F29*$F$26</f>
        <v>4640</v>
      </c>
      <c r="G33" s="43">
        <f t="shared" ref="G33:N33" si="1">G29*$F$26</f>
        <v>4950</v>
      </c>
      <c r="H33" s="43">
        <f t="shared" si="1"/>
        <v>5060</v>
      </c>
      <c r="I33" s="43">
        <f t="shared" si="1"/>
        <v>4310</v>
      </c>
      <c r="J33" s="43">
        <f t="shared" si="1"/>
        <v>4480</v>
      </c>
      <c r="K33" s="43">
        <f t="shared" si="1"/>
        <v>4372.5</v>
      </c>
      <c r="L33" s="43">
        <f t="shared" si="1"/>
        <v>4805</v>
      </c>
      <c r="M33" s="43">
        <f t="shared" si="1"/>
        <v>5775</v>
      </c>
      <c r="N33" s="43">
        <f t="shared" si="1"/>
        <v>6355</v>
      </c>
    </row>
    <row r="34" spans="2:15" x14ac:dyDescent="0.25">
      <c r="B34" s="32" t="s">
        <v>3</v>
      </c>
      <c r="C34" s="4"/>
      <c r="D34" s="4"/>
      <c r="E34" s="4"/>
      <c r="F34" s="41">
        <v>3000</v>
      </c>
      <c r="G34" s="41">
        <v>3000</v>
      </c>
      <c r="H34" s="41">
        <v>3000</v>
      </c>
      <c r="I34" s="41">
        <v>3000</v>
      </c>
      <c r="J34" s="41">
        <v>3000</v>
      </c>
      <c r="K34" s="41">
        <v>3000</v>
      </c>
      <c r="L34" s="41">
        <v>3000</v>
      </c>
      <c r="M34" s="41">
        <v>3000</v>
      </c>
      <c r="N34" s="41">
        <v>3000</v>
      </c>
    </row>
    <row r="35" spans="2:15" x14ac:dyDescent="0.25">
      <c r="B35" s="32" t="s">
        <v>95</v>
      </c>
      <c r="C35" s="4"/>
      <c r="D35" s="4"/>
      <c r="E35" s="4"/>
      <c r="F35" s="41">
        <v>1250</v>
      </c>
      <c r="G35" s="41">
        <v>0</v>
      </c>
      <c r="H35" s="41">
        <v>0</v>
      </c>
      <c r="I35" s="41">
        <v>1250</v>
      </c>
      <c r="J35" s="41">
        <v>0</v>
      </c>
      <c r="K35" s="41">
        <v>0</v>
      </c>
      <c r="L35" s="41">
        <v>1250</v>
      </c>
      <c r="M35" s="41">
        <v>0</v>
      </c>
      <c r="N35" s="41">
        <v>0</v>
      </c>
    </row>
    <row r="36" spans="2:15" x14ac:dyDescent="0.25">
      <c r="B36" s="32" t="s">
        <v>107</v>
      </c>
      <c r="C36" s="4"/>
      <c r="D36" s="4"/>
      <c r="E36" s="4"/>
      <c r="F36" s="41">
        <v>0</v>
      </c>
      <c r="G36" s="43">
        <f>IF($L$24="May",$L$22,0)</f>
        <v>0</v>
      </c>
      <c r="H36" s="43">
        <f>IF($L$24="June",$L$22,0)</f>
        <v>0</v>
      </c>
      <c r="I36" s="43">
        <f>IF($L$24="July",$L$22,0)</f>
        <v>125000</v>
      </c>
      <c r="J36" s="43">
        <f>IF($L$24="August",$L$22,0)</f>
        <v>0</v>
      </c>
      <c r="K36" s="41">
        <v>0</v>
      </c>
      <c r="L36" s="41">
        <v>0</v>
      </c>
      <c r="M36" s="41">
        <v>0</v>
      </c>
      <c r="N36" s="41">
        <v>0</v>
      </c>
    </row>
    <row r="37" spans="2:15" ht="17.25" x14ac:dyDescent="0.4">
      <c r="B37" s="44" t="s">
        <v>96</v>
      </c>
      <c r="C37" s="4"/>
      <c r="D37" s="4"/>
      <c r="E37" s="4"/>
      <c r="F37" s="42">
        <v>850</v>
      </c>
      <c r="G37" s="42">
        <v>0</v>
      </c>
      <c r="H37" s="42">
        <v>0</v>
      </c>
      <c r="I37" s="42">
        <v>980</v>
      </c>
      <c r="J37" s="42">
        <v>0</v>
      </c>
      <c r="K37" s="42">
        <v>0</v>
      </c>
      <c r="L37" s="42">
        <v>1025</v>
      </c>
      <c r="M37" s="42">
        <v>0</v>
      </c>
      <c r="N37" s="42">
        <v>0</v>
      </c>
    </row>
    <row r="38" spans="2:15" x14ac:dyDescent="0.25">
      <c r="B38" s="32" t="s">
        <v>108</v>
      </c>
      <c r="C38" s="4"/>
      <c r="D38" s="4"/>
      <c r="E38" s="4"/>
      <c r="F38" s="41">
        <f>SUM(F33:F37)</f>
        <v>9740</v>
      </c>
      <c r="G38" s="41">
        <f t="shared" ref="G38:N38" si="2">SUM(G33:G37)</f>
        <v>7950</v>
      </c>
      <c r="H38" s="41">
        <f t="shared" si="2"/>
        <v>8060</v>
      </c>
      <c r="I38" s="41">
        <f t="shared" si="2"/>
        <v>134540</v>
      </c>
      <c r="J38" s="41">
        <f t="shared" si="2"/>
        <v>7480</v>
      </c>
      <c r="K38" s="41">
        <f t="shared" si="2"/>
        <v>7372.5</v>
      </c>
      <c r="L38" s="41">
        <f t="shared" si="2"/>
        <v>10080</v>
      </c>
      <c r="M38" s="41">
        <f t="shared" si="2"/>
        <v>8775</v>
      </c>
      <c r="N38" s="41">
        <f t="shared" si="2"/>
        <v>9355</v>
      </c>
    </row>
    <row r="39" spans="2:15" ht="15.75" thickBot="1" x14ac:dyDescent="0.3">
      <c r="B39" s="28"/>
      <c r="C39" s="28"/>
      <c r="D39" s="28"/>
      <c r="E39" s="28"/>
      <c r="F39" s="28"/>
      <c r="G39" s="28"/>
      <c r="H39" s="28"/>
      <c r="I39" s="28"/>
      <c r="J39" s="28"/>
      <c r="K39" s="28"/>
      <c r="L39" s="28"/>
      <c r="M39" s="28"/>
      <c r="N39" s="28"/>
    </row>
    <row r="40" spans="2:15" ht="21.6" customHeight="1" thickBot="1" x14ac:dyDescent="0.3">
      <c r="B40" s="141" t="s">
        <v>94</v>
      </c>
      <c r="C40" s="141"/>
      <c r="D40" s="141"/>
      <c r="E40" s="141"/>
      <c r="F40" s="141"/>
      <c r="G40" s="141"/>
      <c r="H40" s="141"/>
      <c r="I40" s="141"/>
      <c r="J40" s="141"/>
      <c r="K40" s="141"/>
      <c r="L40" s="141"/>
      <c r="M40" s="141"/>
      <c r="N40" s="141"/>
    </row>
    <row r="41" spans="2:15" ht="21.6" customHeight="1" thickBot="1" x14ac:dyDescent="0.3">
      <c r="B41" s="36"/>
      <c r="C41" s="37"/>
      <c r="D41" s="37"/>
      <c r="E41" s="37" t="s">
        <v>75</v>
      </c>
      <c r="F41" s="37" t="s">
        <v>76</v>
      </c>
      <c r="G41" s="37" t="s">
        <v>77</v>
      </c>
      <c r="H41" s="37" t="s">
        <v>78</v>
      </c>
      <c r="I41" s="37" t="s">
        <v>79</v>
      </c>
      <c r="J41" s="37" t="s">
        <v>80</v>
      </c>
      <c r="K41" s="37" t="s">
        <v>81</v>
      </c>
      <c r="L41" s="37" t="s">
        <v>82</v>
      </c>
      <c r="M41" s="37" t="s">
        <v>83</v>
      </c>
      <c r="N41" s="37" t="s">
        <v>84</v>
      </c>
      <c r="O41" s="35"/>
    </row>
    <row r="42" spans="2:15" ht="19.5" customHeight="1" x14ac:dyDescent="0.25">
      <c r="B42" s="29" t="s">
        <v>85</v>
      </c>
      <c r="C42" s="29"/>
      <c r="D42" s="29"/>
      <c r="E42" s="29"/>
      <c r="F42" s="29">
        <f>E46</f>
        <v>27500</v>
      </c>
      <c r="G42" s="29">
        <f t="shared" ref="G42:N42" si="3">F46</f>
        <v>25000</v>
      </c>
      <c r="H42" s="29">
        <f t="shared" si="3"/>
        <v>25000</v>
      </c>
      <c r="I42" s="29">
        <f t="shared" si="3"/>
        <v>25000</v>
      </c>
      <c r="J42" s="29">
        <f t="shared" si="3"/>
        <v>25000</v>
      </c>
      <c r="K42" s="29">
        <f t="shared" si="3"/>
        <v>25000</v>
      </c>
      <c r="L42" s="29">
        <f t="shared" si="3"/>
        <v>25000</v>
      </c>
      <c r="M42" s="29">
        <f t="shared" si="3"/>
        <v>25000</v>
      </c>
      <c r="N42" s="29">
        <f t="shared" si="3"/>
        <v>25000</v>
      </c>
    </row>
    <row r="43" spans="2:15" ht="17.25" x14ac:dyDescent="0.4">
      <c r="B43" s="30" t="s">
        <v>86</v>
      </c>
      <c r="C43" s="31"/>
      <c r="D43" s="31"/>
      <c r="E43" s="31"/>
      <c r="F43" s="31">
        <f>F31-F38</f>
        <v>7199.5</v>
      </c>
      <c r="G43" s="31">
        <f t="shared" ref="G43:N43" si="4">G31-G38</f>
        <v>10604.5</v>
      </c>
      <c r="H43" s="31">
        <f t="shared" si="4"/>
        <v>11504</v>
      </c>
      <c r="I43" s="31">
        <f t="shared" si="4"/>
        <v>-115804</v>
      </c>
      <c r="J43" s="31">
        <f t="shared" si="4"/>
        <v>11116</v>
      </c>
      <c r="K43" s="31">
        <f t="shared" si="4"/>
        <v>10116</v>
      </c>
      <c r="L43" s="31">
        <f t="shared" si="4"/>
        <v>8339</v>
      </c>
      <c r="M43" s="31">
        <f t="shared" si="4"/>
        <v>11585.5</v>
      </c>
      <c r="N43" s="31">
        <f t="shared" si="4"/>
        <v>13431</v>
      </c>
    </row>
    <row r="44" spans="2:15" x14ac:dyDescent="0.25">
      <c r="B44" s="32" t="s">
        <v>87</v>
      </c>
      <c r="C44" s="32"/>
      <c r="D44" s="32"/>
      <c r="E44" s="32"/>
      <c r="F44" s="32">
        <f>F42+F43</f>
        <v>34699.5</v>
      </c>
      <c r="G44" s="32">
        <f t="shared" ref="G44:N44" si="5">G42+G43</f>
        <v>35604.5</v>
      </c>
      <c r="H44" s="32">
        <f t="shared" si="5"/>
        <v>36504</v>
      </c>
      <c r="I44" s="32">
        <f t="shared" si="5"/>
        <v>-90804</v>
      </c>
      <c r="J44" s="32">
        <f t="shared" si="5"/>
        <v>36116</v>
      </c>
      <c r="K44" s="32">
        <f t="shared" si="5"/>
        <v>35116</v>
      </c>
      <c r="L44" s="32">
        <f t="shared" si="5"/>
        <v>33339</v>
      </c>
      <c r="M44" s="32">
        <f t="shared" si="5"/>
        <v>36585.5</v>
      </c>
      <c r="N44" s="32">
        <f t="shared" si="5"/>
        <v>38431</v>
      </c>
      <c r="O44" s="32"/>
    </row>
    <row r="45" spans="2:15" ht="17.25" x14ac:dyDescent="0.4">
      <c r="B45" s="30" t="s">
        <v>88</v>
      </c>
      <c r="C45" s="31"/>
      <c r="D45" s="31"/>
      <c r="E45" s="31"/>
      <c r="F45" s="31">
        <f>F46-F44</f>
        <v>-9699.5</v>
      </c>
      <c r="G45" s="31">
        <f t="shared" ref="G45:N45" si="6">G46-G44</f>
        <v>-10604.5</v>
      </c>
      <c r="H45" s="31">
        <f t="shared" si="6"/>
        <v>-11504</v>
      </c>
      <c r="I45" s="31">
        <f t="shared" si="6"/>
        <v>115804</v>
      </c>
      <c r="J45" s="31">
        <f t="shared" si="6"/>
        <v>-11116</v>
      </c>
      <c r="K45" s="31">
        <f t="shared" si="6"/>
        <v>-10116</v>
      </c>
      <c r="L45" s="31">
        <f t="shared" si="6"/>
        <v>-8339</v>
      </c>
      <c r="M45" s="31">
        <f t="shared" si="6"/>
        <v>-11585.5</v>
      </c>
      <c r="N45" s="31">
        <f t="shared" si="6"/>
        <v>-13431</v>
      </c>
    </row>
    <row r="46" spans="2:15" x14ac:dyDescent="0.25">
      <c r="B46" s="32" t="s">
        <v>89</v>
      </c>
      <c r="C46" s="32"/>
      <c r="D46" s="32"/>
      <c r="E46" s="32">
        <v>27500</v>
      </c>
      <c r="F46" s="32">
        <f>L26</f>
        <v>25000</v>
      </c>
      <c r="G46" s="32">
        <f>F46</f>
        <v>25000</v>
      </c>
      <c r="H46" s="32">
        <f t="shared" ref="H46:N46" si="7">G46</f>
        <v>25000</v>
      </c>
      <c r="I46" s="32">
        <f t="shared" si="7"/>
        <v>25000</v>
      </c>
      <c r="J46" s="32">
        <f t="shared" si="7"/>
        <v>25000</v>
      </c>
      <c r="K46" s="32">
        <f t="shared" si="7"/>
        <v>25000</v>
      </c>
      <c r="L46" s="32">
        <f t="shared" si="7"/>
        <v>25000</v>
      </c>
      <c r="M46" s="32">
        <f t="shared" si="7"/>
        <v>25000</v>
      </c>
      <c r="N46" s="32">
        <f t="shared" si="7"/>
        <v>25000</v>
      </c>
      <c r="O46" s="32"/>
    </row>
    <row r="47" spans="2:15" ht="6.95" customHeight="1" thickBot="1" x14ac:dyDescent="0.3">
      <c r="B47" s="28"/>
      <c r="C47" s="28"/>
      <c r="D47" s="28"/>
      <c r="E47" s="28"/>
      <c r="F47" s="28"/>
      <c r="G47" s="28"/>
      <c r="H47" s="28"/>
      <c r="I47" s="28"/>
      <c r="J47" s="28"/>
      <c r="K47" s="28"/>
      <c r="L47" s="28"/>
      <c r="M47" s="28"/>
      <c r="N47" s="28"/>
    </row>
    <row r="48" spans="2:15" ht="17.25" x14ac:dyDescent="0.4">
      <c r="B48" s="33" t="s">
        <v>132</v>
      </c>
      <c r="C48" s="32"/>
      <c r="D48" s="32"/>
      <c r="E48" s="29"/>
      <c r="F48" s="29">
        <f>F45</f>
        <v>-9699.5</v>
      </c>
      <c r="G48" s="29">
        <f>F48+G45</f>
        <v>-20304</v>
      </c>
      <c r="H48" s="29">
        <f t="shared" ref="H48:N48" si="8">G48+H45</f>
        <v>-31808</v>
      </c>
      <c r="I48" s="29">
        <f t="shared" si="8"/>
        <v>83996</v>
      </c>
      <c r="J48" s="29">
        <f t="shared" si="8"/>
        <v>72880</v>
      </c>
      <c r="K48" s="29">
        <f t="shared" si="8"/>
        <v>62764</v>
      </c>
      <c r="L48" s="29">
        <f t="shared" si="8"/>
        <v>54425</v>
      </c>
      <c r="M48" s="29">
        <f t="shared" si="8"/>
        <v>42839.5</v>
      </c>
      <c r="N48" s="29">
        <f t="shared" si="8"/>
        <v>29408.5</v>
      </c>
      <c r="O48" s="31"/>
    </row>
    <row r="49" spans="2:14" ht="15.75" thickBot="1" x14ac:dyDescent="0.3">
      <c r="B49" s="28"/>
      <c r="C49" s="28"/>
      <c r="D49" s="28"/>
      <c r="E49" s="29"/>
      <c r="F49" s="29"/>
      <c r="G49" s="29"/>
      <c r="H49" s="29"/>
      <c r="I49" s="29"/>
      <c r="J49" s="29"/>
      <c r="K49" s="29"/>
      <c r="L49" s="29"/>
      <c r="M49" s="29"/>
      <c r="N49" s="29"/>
    </row>
    <row r="50" spans="2:14" ht="19.5" thickBot="1" x14ac:dyDescent="0.3">
      <c r="B50" s="141" t="s">
        <v>109</v>
      </c>
      <c r="C50" s="141"/>
      <c r="D50" s="141"/>
      <c r="E50" s="141"/>
      <c r="F50" s="141"/>
      <c r="G50" s="141"/>
      <c r="H50" s="141"/>
      <c r="I50" s="141"/>
      <c r="J50" s="141"/>
      <c r="K50" s="141"/>
      <c r="L50" s="141"/>
      <c r="M50" s="141"/>
      <c r="N50" s="141"/>
    </row>
    <row r="51" spans="2:14" ht="15.75" thickBot="1" x14ac:dyDescent="0.3">
      <c r="B51" s="36"/>
      <c r="C51" s="37"/>
      <c r="D51" s="37"/>
      <c r="E51" s="37" t="s">
        <v>75</v>
      </c>
      <c r="F51" s="37" t="s">
        <v>76</v>
      </c>
      <c r="G51" s="37" t="s">
        <v>77</v>
      </c>
      <c r="H51" s="37" t="s">
        <v>78</v>
      </c>
      <c r="I51" s="37" t="s">
        <v>79</v>
      </c>
      <c r="J51" s="37" t="s">
        <v>80</v>
      </c>
      <c r="K51" s="37" t="s">
        <v>81</v>
      </c>
      <c r="L51" s="37" t="s">
        <v>82</v>
      </c>
      <c r="M51" s="37" t="s">
        <v>83</v>
      </c>
      <c r="N51" s="37" t="s">
        <v>84</v>
      </c>
    </row>
    <row r="52" spans="2:14" ht="24.95" customHeight="1" x14ac:dyDescent="0.25">
      <c r="B52" s="29" t="s">
        <v>90</v>
      </c>
      <c r="C52" s="29"/>
      <c r="D52" s="29"/>
      <c r="E52" s="29">
        <v>0</v>
      </c>
      <c r="F52" s="29">
        <f t="shared" ref="F52:N52" si="9">IF(F48&gt;0,F48,0)</f>
        <v>0</v>
      </c>
      <c r="G52" s="29">
        <f t="shared" si="9"/>
        <v>0</v>
      </c>
      <c r="H52" s="29">
        <f t="shared" si="9"/>
        <v>0</v>
      </c>
      <c r="I52" s="29">
        <f t="shared" si="9"/>
        <v>83996</v>
      </c>
      <c r="J52" s="29">
        <f t="shared" si="9"/>
        <v>72880</v>
      </c>
      <c r="K52" s="29">
        <f t="shared" si="9"/>
        <v>62764</v>
      </c>
      <c r="L52" s="29">
        <f t="shared" si="9"/>
        <v>54425</v>
      </c>
      <c r="M52" s="29">
        <f t="shared" si="9"/>
        <v>42839.5</v>
      </c>
      <c r="N52" s="29">
        <f t="shared" si="9"/>
        <v>29408.5</v>
      </c>
    </row>
    <row r="53" spans="2:14" x14ac:dyDescent="0.25">
      <c r="B53" s="29" t="s">
        <v>91</v>
      </c>
      <c r="C53" s="29"/>
      <c r="D53" s="29"/>
      <c r="E53" s="29">
        <v>0</v>
      </c>
      <c r="F53" s="29">
        <f t="shared" ref="F53:N53" si="10">IF(F48&lt;0,-F48,0)</f>
        <v>9699.5</v>
      </c>
      <c r="G53" s="29">
        <f t="shared" si="10"/>
        <v>20304</v>
      </c>
      <c r="H53" s="29">
        <f t="shared" si="10"/>
        <v>31808</v>
      </c>
      <c r="I53" s="29">
        <f t="shared" si="10"/>
        <v>0</v>
      </c>
      <c r="J53" s="29">
        <f t="shared" si="10"/>
        <v>0</v>
      </c>
      <c r="K53" s="29">
        <f t="shared" si="10"/>
        <v>0</v>
      </c>
      <c r="L53" s="29">
        <f t="shared" si="10"/>
        <v>0</v>
      </c>
      <c r="M53" s="29">
        <f t="shared" si="10"/>
        <v>0</v>
      </c>
      <c r="N53" s="29">
        <f t="shared" si="10"/>
        <v>0</v>
      </c>
    </row>
    <row r="54" spans="2:14" ht="5.45" customHeight="1" thickBot="1" x14ac:dyDescent="0.3">
      <c r="B54" s="28"/>
      <c r="C54" s="28"/>
      <c r="D54" s="28"/>
      <c r="E54" s="28"/>
      <c r="F54" s="28"/>
      <c r="G54" s="28"/>
      <c r="H54" s="28"/>
      <c r="I54" s="28"/>
      <c r="J54" s="28"/>
      <c r="K54" s="28"/>
      <c r="L54" s="28"/>
      <c r="M54" s="28"/>
      <c r="N54" s="28"/>
    </row>
    <row r="55" spans="2:14" ht="5.45" customHeight="1" thickBot="1" x14ac:dyDescent="0.3">
      <c r="B55" s="28"/>
      <c r="C55" s="28"/>
      <c r="D55" s="28"/>
      <c r="E55" s="28"/>
      <c r="F55" s="28"/>
      <c r="G55" s="28"/>
      <c r="H55" s="28"/>
      <c r="I55" s="28"/>
      <c r="J55" s="28"/>
      <c r="K55" s="28"/>
      <c r="L55" s="28"/>
      <c r="M55" s="28"/>
      <c r="N55" s="28"/>
    </row>
  </sheetData>
  <scenarios current="1" show="1" sqref="F43:N43">
    <scenario name="Good" locked="1" count="3" user="Davydenko, Violetta"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5" numFmtId="9"/>
      <inputCells r="F23" val="0.3" numFmtId="9"/>
      <inputCells r="F24" val="0.2" numFmtId="9"/>
    </scenario>
    <scenario name="Normal" locked="1" count="3" user="Davydenko, Violetta" comment="Created by Del on 9/22/2011_x000a_Modified by Del on 6/9/2012_x000a_Modified by D Hawley on 9/22/2013_x000a_Modified by Del on 6/9/2014_x000a_Modified by Del Hawley on 2/16/2015_x000a_Modified by Del Hawley on 6/12/2016_x000a_Modified by Hawley, Del on 7/2/2018_x000a_Modified by Del Hawley on">
      <inputCells r="F22" val="0.45" numFmtId="9"/>
      <inputCells r="F23" val="0.2" numFmtId="9"/>
      <inputCells r="F24" val="0.35" numFmtId="9"/>
    </scenario>
    <scenario name="Bad" locked="1" count="3" user="Davydenko, Violetta"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78C9-43F7-4F6E-AB94-7086712A1560}">
  <sheetPr>
    <outlinePr summaryBelow="0"/>
  </sheetPr>
  <dimension ref="B1:G21"/>
  <sheetViews>
    <sheetView showGridLines="0" workbookViewId="0"/>
  </sheetViews>
  <sheetFormatPr defaultRowHeight="15" outlineLevelRow="1" outlineLevelCol="1" x14ac:dyDescent="0.25"/>
  <cols>
    <col min="3" max="3" width="7.85546875" bestFit="1" customWidth="1"/>
    <col min="4" max="7" width="13.140625" bestFit="1" customWidth="1" outlineLevel="1"/>
  </cols>
  <sheetData>
    <row r="1" spans="2:7" ht="15.75" thickBot="1" x14ac:dyDescent="0.3"/>
    <row r="2" spans="2:7" ht="15.75" x14ac:dyDescent="0.25">
      <c r="B2" s="127" t="s">
        <v>148</v>
      </c>
      <c r="C2" s="127"/>
      <c r="D2" s="49"/>
      <c r="E2" s="49"/>
      <c r="F2" s="49"/>
      <c r="G2" s="49"/>
    </row>
    <row r="3" spans="2:7" ht="15.75" collapsed="1" x14ac:dyDescent="0.25">
      <c r="B3" s="126"/>
      <c r="C3" s="126"/>
      <c r="D3" s="50" t="s">
        <v>150</v>
      </c>
      <c r="E3" s="50" t="s">
        <v>145</v>
      </c>
      <c r="F3" s="50" t="s">
        <v>146</v>
      </c>
      <c r="G3" s="50" t="s">
        <v>147</v>
      </c>
    </row>
    <row r="4" spans="2:7" ht="236.25" hidden="1" outlineLevel="1" x14ac:dyDescent="0.25">
      <c r="B4" s="128"/>
      <c r="C4" s="128"/>
      <c r="D4" s="118"/>
      <c r="E4" s="124" t="s">
        <v>199</v>
      </c>
      <c r="F4" s="124" t="s">
        <v>200</v>
      </c>
      <c r="G4" s="124" t="s">
        <v>199</v>
      </c>
    </row>
    <row r="5" spans="2:7" x14ac:dyDescent="0.25">
      <c r="B5" s="129" t="s">
        <v>149</v>
      </c>
      <c r="C5" s="129"/>
      <c r="D5" s="122"/>
      <c r="E5" s="122"/>
      <c r="F5" s="122"/>
      <c r="G5" s="122"/>
    </row>
    <row r="6" spans="2:7" outlineLevel="1" x14ac:dyDescent="0.25">
      <c r="B6" s="128"/>
      <c r="C6" s="128" t="s">
        <v>133</v>
      </c>
      <c r="D6" s="119">
        <v>0.45</v>
      </c>
      <c r="E6" s="123">
        <v>0.5</v>
      </c>
      <c r="F6" s="123">
        <v>0.45</v>
      </c>
      <c r="G6" s="123">
        <v>0.3</v>
      </c>
    </row>
    <row r="7" spans="2:7" outlineLevel="1" x14ac:dyDescent="0.25">
      <c r="B7" s="128"/>
      <c r="C7" s="128" t="s">
        <v>134</v>
      </c>
      <c r="D7" s="119">
        <v>0.2</v>
      </c>
      <c r="E7" s="123">
        <v>0.3</v>
      </c>
      <c r="F7" s="123">
        <v>0.2</v>
      </c>
      <c r="G7" s="123">
        <v>0.1</v>
      </c>
    </row>
    <row r="8" spans="2:7" outlineLevel="1" x14ac:dyDescent="0.25">
      <c r="B8" s="128"/>
      <c r="C8" s="128" t="s">
        <v>135</v>
      </c>
      <c r="D8" s="119">
        <v>0.35</v>
      </c>
      <c r="E8" s="123">
        <v>0.2</v>
      </c>
      <c r="F8" s="123">
        <v>0.35</v>
      </c>
      <c r="G8" s="123">
        <v>0.6</v>
      </c>
    </row>
    <row r="9" spans="2:7" x14ac:dyDescent="0.25">
      <c r="B9" s="129" t="s">
        <v>151</v>
      </c>
      <c r="C9" s="129"/>
      <c r="D9" s="122"/>
      <c r="E9" s="122"/>
      <c r="F9" s="122"/>
      <c r="G9" s="122"/>
    </row>
    <row r="10" spans="2:7" outlineLevel="1" x14ac:dyDescent="0.25">
      <c r="B10" s="128"/>
      <c r="C10" s="128" t="s">
        <v>136</v>
      </c>
      <c r="D10" s="120">
        <v>7199.5</v>
      </c>
      <c r="E10" s="120">
        <v>7595</v>
      </c>
      <c r="F10" s="120">
        <v>7199.5</v>
      </c>
      <c r="G10" s="120">
        <v>6433</v>
      </c>
    </row>
    <row r="11" spans="2:7" outlineLevel="1" x14ac:dyDescent="0.25">
      <c r="B11" s="128"/>
      <c r="C11" s="128" t="s">
        <v>137</v>
      </c>
      <c r="D11" s="120">
        <v>10604.5</v>
      </c>
      <c r="E11" s="120">
        <v>10908</v>
      </c>
      <c r="F11" s="120">
        <v>10604.5</v>
      </c>
      <c r="G11" s="120">
        <v>10016</v>
      </c>
    </row>
    <row r="12" spans="2:7" outlineLevel="1" x14ac:dyDescent="0.25">
      <c r="B12" s="128"/>
      <c r="C12" s="128" t="s">
        <v>138</v>
      </c>
      <c r="D12" s="120">
        <v>11504</v>
      </c>
      <c r="E12" s="120">
        <v>11712</v>
      </c>
      <c r="F12" s="120">
        <v>11504</v>
      </c>
      <c r="G12" s="120">
        <v>11128</v>
      </c>
    </row>
    <row r="13" spans="2:7" outlineLevel="1" x14ac:dyDescent="0.25">
      <c r="B13" s="128"/>
      <c r="C13" s="128" t="s">
        <v>139</v>
      </c>
      <c r="D13" s="120">
        <v>-115804</v>
      </c>
      <c r="E13" s="120">
        <v>-115888</v>
      </c>
      <c r="F13" s="120">
        <v>-115804</v>
      </c>
      <c r="G13" s="120">
        <v>-115464</v>
      </c>
    </row>
    <row r="14" spans="2:7" outlineLevel="1" x14ac:dyDescent="0.25">
      <c r="B14" s="128"/>
      <c r="C14" s="128" t="s">
        <v>140</v>
      </c>
      <c r="D14" s="120">
        <v>11116</v>
      </c>
      <c r="E14" s="120">
        <v>10700</v>
      </c>
      <c r="F14" s="120">
        <v>11116</v>
      </c>
      <c r="G14" s="120">
        <v>11764</v>
      </c>
    </row>
    <row r="15" spans="2:7" outlineLevel="1" x14ac:dyDescent="0.25">
      <c r="B15" s="128"/>
      <c r="C15" s="128" t="s">
        <v>141</v>
      </c>
      <c r="D15" s="120">
        <v>10116</v>
      </c>
      <c r="E15" s="120">
        <v>10196.5</v>
      </c>
      <c r="F15" s="120">
        <v>10116</v>
      </c>
      <c r="G15" s="120">
        <v>10010.5</v>
      </c>
    </row>
    <row r="16" spans="2:7" outlineLevel="1" x14ac:dyDescent="0.25">
      <c r="B16" s="128"/>
      <c r="C16" s="128" t="s">
        <v>142</v>
      </c>
      <c r="D16" s="120">
        <v>8339</v>
      </c>
      <c r="E16" s="120">
        <v>8361</v>
      </c>
      <c r="F16" s="120">
        <v>8339</v>
      </c>
      <c r="G16" s="120">
        <v>8187</v>
      </c>
    </row>
    <row r="17" spans="2:7" outlineLevel="1" x14ac:dyDescent="0.25">
      <c r="B17" s="128"/>
      <c r="C17" s="128" t="s">
        <v>143</v>
      </c>
      <c r="D17" s="120">
        <v>11585.5</v>
      </c>
      <c r="E17" s="120">
        <v>12039</v>
      </c>
      <c r="F17" s="120">
        <v>11585.5</v>
      </c>
      <c r="G17" s="120">
        <v>10571</v>
      </c>
    </row>
    <row r="18" spans="2:7" ht="15.75" outlineLevel="1" thickBot="1" x14ac:dyDescent="0.3">
      <c r="B18" s="130"/>
      <c r="C18" s="130" t="s">
        <v>144</v>
      </c>
      <c r="D18" s="121">
        <v>13431</v>
      </c>
      <c r="E18" s="121">
        <v>14129</v>
      </c>
      <c r="F18" s="121">
        <v>13431</v>
      </c>
      <c r="G18" s="121">
        <v>12113</v>
      </c>
    </row>
    <row r="19" spans="2:7" x14ac:dyDescent="0.25">
      <c r="B19" t="s">
        <v>152</v>
      </c>
    </row>
    <row r="20" spans="2:7" x14ac:dyDescent="0.25">
      <c r="B20" t="s">
        <v>153</v>
      </c>
    </row>
    <row r="21" spans="2:7" x14ac:dyDescent="0.25">
      <c r="B21" t="s">
        <v>154</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workbookViewId="0">
      <selection activeCell="N31" sqref="N31"/>
    </sheetView>
  </sheetViews>
  <sheetFormatPr defaultRowHeight="15" x14ac:dyDescent="0.25"/>
  <cols>
    <col min="10" max="10" width="17.28515625" customWidth="1"/>
    <col min="11" max="19" width="12" customWidth="1"/>
  </cols>
  <sheetData>
    <row r="5" spans="10:19" x14ac:dyDescent="0.25">
      <c r="K5" t="s">
        <v>155</v>
      </c>
      <c r="L5" t="s">
        <v>156</v>
      </c>
      <c r="M5" t="s">
        <v>157</v>
      </c>
      <c r="N5" t="s">
        <v>158</v>
      </c>
      <c r="O5" t="s">
        <v>159</v>
      </c>
      <c r="P5" t="s">
        <v>160</v>
      </c>
      <c r="Q5" t="s">
        <v>161</v>
      </c>
      <c r="R5" t="s">
        <v>162</v>
      </c>
      <c r="S5" t="s">
        <v>163</v>
      </c>
    </row>
    <row r="6" spans="10:19" x14ac:dyDescent="0.25">
      <c r="J6" t="s">
        <v>165</v>
      </c>
      <c r="K6" s="29">
        <f>-'Prob 2 - 30 Pts '!F52</f>
        <v>0</v>
      </c>
      <c r="L6" s="29">
        <f>-'Prob 2 - 30 Pts '!G52</f>
        <v>0</v>
      </c>
      <c r="M6" s="29">
        <f>-'Prob 2 - 30 Pts '!H52</f>
        <v>0</v>
      </c>
      <c r="N6" s="29">
        <f>-'Prob 2 - 30 Pts '!I52</f>
        <v>-83996</v>
      </c>
      <c r="O6" s="29">
        <f>-'Prob 2 - 30 Pts '!J52</f>
        <v>-72880</v>
      </c>
      <c r="P6" s="29">
        <f>-'Prob 2 - 30 Pts '!K52</f>
        <v>-62764</v>
      </c>
      <c r="Q6" s="29">
        <f>-'Prob 2 - 30 Pts '!L52</f>
        <v>-54425</v>
      </c>
      <c r="R6" s="29">
        <f>-'Prob 2 - 30 Pts '!M52</f>
        <v>-42839.5</v>
      </c>
      <c r="S6" s="29">
        <f>-'Prob 2 - 30 Pts '!N52</f>
        <v>-29408.5</v>
      </c>
    </row>
    <row r="7" spans="10:19" x14ac:dyDescent="0.25">
      <c r="J7" t="s">
        <v>164</v>
      </c>
      <c r="K7" s="29">
        <f>'Prob 2 - 30 Pts '!F53</f>
        <v>9699.5</v>
      </c>
      <c r="L7" s="29">
        <f>'Prob 2 - 30 Pts '!G53</f>
        <v>20304</v>
      </c>
      <c r="M7" s="29">
        <f>'Prob 2 - 30 Pts '!H53</f>
        <v>31808</v>
      </c>
      <c r="N7" s="29">
        <f>'Prob 2 - 30 Pts '!I53</f>
        <v>0</v>
      </c>
      <c r="O7" s="29">
        <f>'Prob 2 - 30 Pts '!J53</f>
        <v>0</v>
      </c>
      <c r="P7" s="29">
        <f>'Prob 2 - 30 Pts '!K53</f>
        <v>0</v>
      </c>
      <c r="Q7" s="29">
        <f>'Prob 2 - 30 Pts '!L53</f>
        <v>0</v>
      </c>
      <c r="R7" s="29">
        <f>'Prob 2 - 30 Pts '!M53</f>
        <v>0</v>
      </c>
      <c r="S7" s="29">
        <f>'Prob 2 - 30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4"/>
  <sheetViews>
    <sheetView topLeftCell="A16" zoomScale="130" zoomScaleNormal="130" workbookViewId="0">
      <selection activeCell="D23" sqref="D23"/>
    </sheetView>
  </sheetViews>
  <sheetFormatPr defaultColWidth="9.140625" defaultRowHeight="15" x14ac:dyDescent="0.25"/>
  <cols>
    <col min="1" max="1" width="9.140625" style="9"/>
    <col min="2" max="3" width="11.5703125" style="9" customWidth="1"/>
    <col min="4" max="4" width="13.7109375" style="9" customWidth="1"/>
    <col min="5" max="5" width="14.28515625" style="9" customWidth="1"/>
    <col min="6" max="16384" width="9.140625" style="9"/>
  </cols>
  <sheetData>
    <row r="3" spans="2:5" ht="86.25" customHeight="1" x14ac:dyDescent="0.25"/>
    <row r="5" spans="2:5" ht="15.75" thickBot="1" x14ac:dyDescent="0.3"/>
    <row r="6" spans="2:5" ht="52.5" customHeight="1" thickBot="1" x14ac:dyDescent="0.3">
      <c r="B6" s="83" t="s">
        <v>170</v>
      </c>
      <c r="C6" s="84" t="s">
        <v>176</v>
      </c>
      <c r="D6" s="84" t="s">
        <v>171</v>
      </c>
      <c r="E6" s="85" t="s">
        <v>172</v>
      </c>
    </row>
    <row r="7" spans="2:5" x14ac:dyDescent="0.25">
      <c r="B7" s="108">
        <v>2000</v>
      </c>
      <c r="C7" s="81">
        <v>9.44</v>
      </c>
      <c r="D7" s="82"/>
      <c r="E7" s="82"/>
    </row>
    <row r="8" spans="2:5" x14ac:dyDescent="0.25">
      <c r="B8" s="108">
        <v>2001</v>
      </c>
      <c r="C8" s="77">
        <v>9.85</v>
      </c>
      <c r="D8" s="78">
        <f>C8/C7-1</f>
        <v>4.3432203389830448E-2</v>
      </c>
      <c r="E8" s="79">
        <f>1+D8</f>
        <v>1.0434322033898304</v>
      </c>
    </row>
    <row r="9" spans="2:5" x14ac:dyDescent="0.25">
      <c r="B9" s="108">
        <v>2002</v>
      </c>
      <c r="C9" s="77">
        <v>12.25</v>
      </c>
      <c r="D9" s="78">
        <f t="shared" ref="D9:D24" si="0">C9/C8-1</f>
        <v>0.24365482233502544</v>
      </c>
      <c r="E9" s="79">
        <f t="shared" ref="E9:E24" si="1">1+D9</f>
        <v>1.2436548223350254</v>
      </c>
    </row>
    <row r="10" spans="2:5" x14ac:dyDescent="0.25">
      <c r="B10" s="108">
        <v>2003</v>
      </c>
      <c r="C10" s="77">
        <v>11.55</v>
      </c>
      <c r="D10" s="78">
        <f t="shared" si="0"/>
        <v>-5.7142857142857051E-2</v>
      </c>
      <c r="E10" s="79">
        <f t="shared" si="1"/>
        <v>0.94285714285714295</v>
      </c>
    </row>
    <row r="11" spans="2:5" x14ac:dyDescent="0.25">
      <c r="B11" s="108">
        <v>2004</v>
      </c>
      <c r="C11" s="77">
        <v>6.65</v>
      </c>
      <c r="D11" s="78">
        <f t="shared" si="0"/>
        <v>-0.4242424242424242</v>
      </c>
      <c r="E11" s="79">
        <f t="shared" si="1"/>
        <v>0.5757575757575758</v>
      </c>
    </row>
    <row r="12" spans="2:5" x14ac:dyDescent="0.25">
      <c r="B12" s="108">
        <v>2005</v>
      </c>
      <c r="C12" s="77">
        <v>10.25</v>
      </c>
      <c r="D12" s="78">
        <f t="shared" si="0"/>
        <v>0.54135338345864659</v>
      </c>
      <c r="E12" s="79">
        <f t="shared" si="1"/>
        <v>1.5413533834586466</v>
      </c>
    </row>
    <row r="13" spans="2:5" x14ac:dyDescent="0.25">
      <c r="B13" s="108">
        <v>2006</v>
      </c>
      <c r="C13" s="77">
        <v>11</v>
      </c>
      <c r="D13" s="78">
        <f t="shared" si="0"/>
        <v>7.3170731707317138E-2</v>
      </c>
      <c r="E13" s="79">
        <f t="shared" si="1"/>
        <v>1.0731707317073171</v>
      </c>
    </row>
    <row r="14" spans="2:5" x14ac:dyDescent="0.25">
      <c r="B14" s="108">
        <v>2007</v>
      </c>
      <c r="C14" s="77">
        <v>12.2</v>
      </c>
      <c r="D14" s="78">
        <f t="shared" si="0"/>
        <v>0.10909090909090913</v>
      </c>
      <c r="E14" s="79">
        <f t="shared" si="1"/>
        <v>1.1090909090909091</v>
      </c>
    </row>
    <row r="15" spans="2:5" x14ac:dyDescent="0.25">
      <c r="B15" s="108">
        <v>2008</v>
      </c>
      <c r="C15" s="77">
        <v>12.95</v>
      </c>
      <c r="D15" s="78">
        <f t="shared" si="0"/>
        <v>6.1475409836065475E-2</v>
      </c>
      <c r="E15" s="79">
        <f t="shared" si="1"/>
        <v>1.0614754098360655</v>
      </c>
    </row>
    <row r="16" spans="2:5" x14ac:dyDescent="0.25">
      <c r="B16" s="108">
        <v>2009</v>
      </c>
      <c r="C16" s="77">
        <v>6.25</v>
      </c>
      <c r="D16" s="78">
        <f t="shared" si="0"/>
        <v>-0.51737451737451734</v>
      </c>
      <c r="E16" s="79">
        <f t="shared" si="1"/>
        <v>0.48262548262548266</v>
      </c>
    </row>
    <row r="17" spans="2:5" x14ac:dyDescent="0.25">
      <c r="B17" s="108">
        <v>2010</v>
      </c>
      <c r="C17" s="77">
        <v>7.5</v>
      </c>
      <c r="D17" s="78">
        <f t="shared" si="0"/>
        <v>0.19999999999999996</v>
      </c>
      <c r="E17" s="79">
        <f t="shared" si="1"/>
        <v>1.2</v>
      </c>
    </row>
    <row r="18" spans="2:5" x14ac:dyDescent="0.25">
      <c r="B18" s="108">
        <v>2011</v>
      </c>
      <c r="C18" s="77">
        <v>8.5299999999999994</v>
      </c>
      <c r="D18" s="78">
        <f t="shared" si="0"/>
        <v>0.13733333333333331</v>
      </c>
      <c r="E18" s="79">
        <f t="shared" si="1"/>
        <v>1.1373333333333333</v>
      </c>
    </row>
    <row r="19" spans="2:5" x14ac:dyDescent="0.25">
      <c r="B19" s="108">
        <v>2012</v>
      </c>
      <c r="C19" s="77">
        <v>9.26</v>
      </c>
      <c r="D19" s="78">
        <f t="shared" si="0"/>
        <v>8.5580304806565088E-2</v>
      </c>
      <c r="E19" s="79">
        <f t="shared" si="1"/>
        <v>1.0855803048065651</v>
      </c>
    </row>
    <row r="20" spans="2:5" x14ac:dyDescent="0.25">
      <c r="B20" s="108">
        <v>2013</v>
      </c>
      <c r="C20" s="109">
        <v>11.2</v>
      </c>
      <c r="D20" s="78">
        <f t="shared" si="0"/>
        <v>0.20950323974082075</v>
      </c>
      <c r="E20" s="79">
        <f t="shared" si="1"/>
        <v>1.2095032397408207</v>
      </c>
    </row>
    <row r="21" spans="2:5" x14ac:dyDescent="0.25">
      <c r="B21" s="108">
        <v>2014</v>
      </c>
      <c r="C21" s="109">
        <v>12.5</v>
      </c>
      <c r="D21" s="78">
        <f t="shared" si="0"/>
        <v>0.1160714285714286</v>
      </c>
      <c r="E21" s="79">
        <f t="shared" si="1"/>
        <v>1.1160714285714286</v>
      </c>
    </row>
    <row r="22" spans="2:5" x14ac:dyDescent="0.25">
      <c r="B22" s="108">
        <v>2015</v>
      </c>
      <c r="C22" s="109">
        <v>13.95</v>
      </c>
      <c r="D22" s="78">
        <f t="shared" si="0"/>
        <v>0.11599999999999988</v>
      </c>
      <c r="E22" s="79">
        <f t="shared" si="1"/>
        <v>1.1159999999999999</v>
      </c>
    </row>
    <row r="23" spans="2:5" x14ac:dyDescent="0.25">
      <c r="B23" s="108">
        <v>2016</v>
      </c>
      <c r="C23" s="109">
        <v>18.68</v>
      </c>
      <c r="D23" s="78">
        <f t="shared" si="0"/>
        <v>0.33906810035842305</v>
      </c>
      <c r="E23" s="79">
        <f t="shared" si="1"/>
        <v>1.3390681003584231</v>
      </c>
    </row>
    <row r="24" spans="2:5" x14ac:dyDescent="0.25">
      <c r="B24" s="108">
        <v>2017</v>
      </c>
      <c r="C24" s="109">
        <v>16.28</v>
      </c>
      <c r="D24" s="78">
        <f t="shared" si="0"/>
        <v>-0.12847965738758027</v>
      </c>
      <c r="E24" s="79">
        <f t="shared" si="1"/>
        <v>0.87152034261241973</v>
      </c>
    </row>
    <row r="25" spans="2:5" x14ac:dyDescent="0.25">
      <c r="B25" s="108">
        <v>2018</v>
      </c>
      <c r="C25" s="109">
        <v>18.420000000000002</v>
      </c>
      <c r="D25" s="78">
        <f>C25/C24-1</f>
        <v>0.1314496314496314</v>
      </c>
      <c r="E25" s="79">
        <f>1+D25</f>
        <v>1.1314496314496314</v>
      </c>
    </row>
    <row r="26" spans="2:5" x14ac:dyDescent="0.25">
      <c r="B26" s="108">
        <v>2019</v>
      </c>
      <c r="C26" s="109">
        <v>17.329999999999998</v>
      </c>
      <c r="D26" s="78">
        <f>C26/C25-1</f>
        <v>-5.9174809989142374E-2</v>
      </c>
      <c r="E26" s="79">
        <f>1+D26</f>
        <v>0.94082519001085763</v>
      </c>
    </row>
    <row r="27" spans="2:5" ht="15.75" thickBot="1" x14ac:dyDescent="0.3">
      <c r="B27" s="108">
        <v>2020</v>
      </c>
      <c r="C27" s="80">
        <v>18.420000000000002</v>
      </c>
      <c r="D27" s="78">
        <f>C27/C26-1</f>
        <v>6.2896710905943731E-2</v>
      </c>
      <c r="E27" s="79">
        <f>1+D27</f>
        <v>1.0628967109059437</v>
      </c>
    </row>
    <row r="28" spans="2:5" ht="8.25" customHeight="1" x14ac:dyDescent="0.25">
      <c r="B28" s="86"/>
      <c r="C28" s="87"/>
      <c r="D28" s="87"/>
      <c r="E28" s="88"/>
    </row>
    <row r="29" spans="2:5" x14ac:dyDescent="0.25">
      <c r="B29" s="94" t="s">
        <v>173</v>
      </c>
      <c r="E29" s="89"/>
    </row>
    <row r="30" spans="2:5" ht="3.75" customHeight="1" thickBot="1" x14ac:dyDescent="0.3">
      <c r="B30" s="90"/>
      <c r="C30" s="142"/>
      <c r="D30" s="142"/>
      <c r="E30" s="89"/>
    </row>
    <row r="31" spans="2:5" ht="15.75" thickBot="1" x14ac:dyDescent="0.3">
      <c r="B31" s="90"/>
      <c r="C31" s="95">
        <f>GEOMEAN(E8:E27)-1</f>
        <v>3.3988911905908692E-2</v>
      </c>
      <c r="D31" s="9" t="s">
        <v>174</v>
      </c>
      <c r="E31" s="89"/>
    </row>
    <row r="32" spans="2:5" ht="6.75" customHeight="1" thickBot="1" x14ac:dyDescent="0.3">
      <c r="B32" s="90"/>
      <c r="C32" s="96"/>
      <c r="E32" s="89"/>
    </row>
    <row r="33" spans="2:5" ht="15.75" thickBot="1" x14ac:dyDescent="0.3">
      <c r="B33" s="90"/>
      <c r="C33" s="95">
        <f>(PRODUCT(E8:E27)^(1/20))-1</f>
        <v>3.3988911905908692E-2</v>
      </c>
      <c r="D33" s="9" t="s">
        <v>175</v>
      </c>
      <c r="E33" s="89"/>
    </row>
    <row r="34" spans="2:5" ht="6.75" customHeight="1" thickBot="1" x14ac:dyDescent="0.3">
      <c r="B34" s="91"/>
      <c r="C34" s="92"/>
      <c r="D34" s="92"/>
      <c r="E34" s="93"/>
    </row>
  </sheetData>
  <mergeCells count="1">
    <mergeCell ref="C30:D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67"/>
  <sheetViews>
    <sheetView showGridLines="0" topLeftCell="A45" zoomScale="115" zoomScaleNormal="115" workbookViewId="0">
      <selection activeCell="R50" sqref="R50"/>
    </sheetView>
  </sheetViews>
  <sheetFormatPr defaultRowHeight="15" x14ac:dyDescent="0.25"/>
  <cols>
    <col min="1" max="2" width="3.85546875" customWidth="1"/>
    <col min="3" max="3" width="10.42578125" customWidth="1"/>
    <col min="4" max="4" width="2.85546875" customWidth="1"/>
    <col min="5" max="5" width="2.7109375" customWidth="1"/>
    <col min="6" max="6" width="6" style="64" customWidth="1"/>
  </cols>
  <sheetData>
    <row r="2" spans="2:17" ht="139.5" customHeight="1" x14ac:dyDescent="0.25"/>
    <row r="3" spans="2:17" ht="15.75" thickBot="1" x14ac:dyDescent="0.3">
      <c r="B3" s="1"/>
      <c r="C3" s="98"/>
      <c r="D3" s="1"/>
      <c r="E3" s="1"/>
      <c r="F3" s="99"/>
      <c r="G3" s="1"/>
      <c r="H3" s="1"/>
      <c r="I3" s="1"/>
      <c r="J3" s="1"/>
      <c r="K3" s="1"/>
      <c r="L3" s="1"/>
      <c r="M3" s="1"/>
      <c r="N3" s="1"/>
      <c r="O3" s="1"/>
      <c r="P3" s="1"/>
      <c r="Q3" s="1"/>
    </row>
    <row r="4" spans="2:17" ht="103.15" customHeight="1" thickBot="1" x14ac:dyDescent="0.3">
      <c r="B4" s="100"/>
      <c r="C4" s="101" t="s">
        <v>120</v>
      </c>
      <c r="D4" s="143" t="s">
        <v>188</v>
      </c>
      <c r="E4" s="143"/>
      <c r="F4" s="143"/>
      <c r="G4" s="143"/>
      <c r="H4" s="143"/>
      <c r="I4" s="143"/>
      <c r="J4" s="143"/>
      <c r="K4" s="143"/>
      <c r="L4" s="143"/>
      <c r="M4" s="143"/>
      <c r="N4" s="143"/>
      <c r="O4" s="100"/>
      <c r="P4" s="100"/>
      <c r="Q4" s="100"/>
    </row>
    <row r="5" spans="2:17" ht="15.75" thickBot="1" x14ac:dyDescent="0.3"/>
    <row r="6" spans="2:17" ht="15.75" thickBot="1" x14ac:dyDescent="0.3">
      <c r="C6" s="69" t="s">
        <v>192</v>
      </c>
      <c r="D6" s="66" t="s">
        <v>213</v>
      </c>
    </row>
    <row r="7" spans="2:17" ht="8.4499999999999993" customHeight="1" x14ac:dyDescent="0.25">
      <c r="C7" s="68"/>
      <c r="D7" s="66"/>
    </row>
    <row r="8" spans="2:17" ht="14.25" customHeight="1" x14ac:dyDescent="0.25">
      <c r="C8" s="68"/>
      <c r="D8" s="65" t="s">
        <v>178</v>
      </c>
    </row>
    <row r="9" spans="2:17" x14ac:dyDescent="0.25">
      <c r="C9" s="68"/>
      <c r="D9" s="65" t="s">
        <v>189</v>
      </c>
    </row>
    <row r="10" spans="2:17" x14ac:dyDescent="0.25">
      <c r="C10" s="68"/>
      <c r="D10" s="65" t="s">
        <v>190</v>
      </c>
    </row>
    <row r="11" spans="2:17" x14ac:dyDescent="0.25">
      <c r="C11" s="68"/>
      <c r="D11" s="65" t="s">
        <v>191</v>
      </c>
    </row>
    <row r="12" spans="2:17" x14ac:dyDescent="0.25">
      <c r="C12" s="68"/>
      <c r="D12" s="65" t="s">
        <v>119</v>
      </c>
    </row>
    <row r="13" spans="2:17" ht="15.75" thickBot="1" x14ac:dyDescent="0.3">
      <c r="C13" s="68"/>
    </row>
    <row r="14" spans="2:17" ht="15.75" thickBot="1" x14ac:dyDescent="0.3">
      <c r="C14" s="69" t="s">
        <v>215</v>
      </c>
      <c r="D14" s="66" t="s">
        <v>214</v>
      </c>
    </row>
    <row r="15" spans="2:17" ht="9.6" customHeight="1" x14ac:dyDescent="0.25">
      <c r="D15" s="66"/>
    </row>
    <row r="16" spans="2:17" x14ac:dyDescent="0.25">
      <c r="D16" s="65" t="s">
        <v>193</v>
      </c>
    </row>
    <row r="17" spans="2:17" x14ac:dyDescent="0.25">
      <c r="D17" s="65" t="s">
        <v>183</v>
      </c>
    </row>
    <row r="18" spans="2:17" x14ac:dyDescent="0.25">
      <c r="D18" s="65" t="s">
        <v>201</v>
      </c>
    </row>
    <row r="19" spans="2:17" x14ac:dyDescent="0.25">
      <c r="D19" s="65" t="s">
        <v>194</v>
      </c>
    </row>
    <row r="20" spans="2:17" x14ac:dyDescent="0.25">
      <c r="D20" s="65" t="s">
        <v>195</v>
      </c>
    </row>
    <row r="21" spans="2:17" ht="15.75" thickBot="1" x14ac:dyDescent="0.3">
      <c r="D21" s="65"/>
    </row>
    <row r="22" spans="2:17" ht="15.75" thickBot="1" x14ac:dyDescent="0.3">
      <c r="C22" s="69" t="s">
        <v>217</v>
      </c>
      <c r="D22" s="66" t="s">
        <v>184</v>
      </c>
    </row>
    <row r="23" spans="2:17" ht="9" customHeight="1" x14ac:dyDescent="0.25">
      <c r="C23" s="68"/>
      <c r="D23" s="66"/>
    </row>
    <row r="24" spans="2:17" x14ac:dyDescent="0.25">
      <c r="C24" s="68"/>
      <c r="D24" s="65" t="s">
        <v>218</v>
      </c>
    </row>
    <row r="25" spans="2:17" x14ac:dyDescent="0.25">
      <c r="C25" s="68"/>
      <c r="D25" s="65" t="s">
        <v>219</v>
      </c>
    </row>
    <row r="26" spans="2:17" x14ac:dyDescent="0.25">
      <c r="C26" s="68"/>
      <c r="D26" s="65" t="s">
        <v>179</v>
      </c>
    </row>
    <row r="27" spans="2:17" x14ac:dyDescent="0.25">
      <c r="C27" s="68"/>
      <c r="D27" s="65" t="s">
        <v>216</v>
      </c>
    </row>
    <row r="28" spans="2:17" x14ac:dyDescent="0.25">
      <c r="C28" s="68"/>
      <c r="D28" s="65" t="s">
        <v>121</v>
      </c>
    </row>
    <row r="29" spans="2:17" ht="15.75" thickBot="1" x14ac:dyDescent="0.3">
      <c r="B29" s="1"/>
      <c r="C29" s="98"/>
      <c r="D29" s="102"/>
      <c r="E29" s="1"/>
      <c r="F29" s="99"/>
      <c r="G29" s="1"/>
      <c r="H29" s="1"/>
      <c r="I29" s="1"/>
      <c r="J29" s="1"/>
      <c r="K29" s="1"/>
      <c r="L29" s="1"/>
      <c r="M29" s="1"/>
      <c r="N29" s="1"/>
      <c r="O29" s="1"/>
      <c r="P29" s="1"/>
      <c r="Q29" s="1"/>
    </row>
    <row r="30" spans="2:17" ht="121.15" customHeight="1" thickBot="1" x14ac:dyDescent="0.3">
      <c r="B30" s="100"/>
      <c r="C30" s="101" t="s">
        <v>122</v>
      </c>
      <c r="D30" s="144" t="s">
        <v>196</v>
      </c>
      <c r="E30" s="144"/>
      <c r="F30" s="144"/>
      <c r="G30" s="144"/>
      <c r="H30" s="144"/>
      <c r="I30" s="144"/>
      <c r="J30" s="144"/>
      <c r="K30" s="144"/>
      <c r="L30" s="144"/>
      <c r="M30" s="144"/>
      <c r="N30" s="144"/>
      <c r="O30" s="100"/>
      <c r="P30" s="100"/>
      <c r="Q30" s="100"/>
    </row>
    <row r="31" spans="2:17" ht="15.75" thickBot="1" x14ac:dyDescent="0.3"/>
    <row r="32" spans="2:17" ht="15.75" thickBot="1" x14ac:dyDescent="0.3">
      <c r="C32" s="69" t="b">
        <v>0</v>
      </c>
      <c r="D32" t="s">
        <v>205</v>
      </c>
    </row>
    <row r="33" spans="3:4" ht="15.75" thickBot="1" x14ac:dyDescent="0.3"/>
    <row r="34" spans="3:4" ht="15.75" thickBot="1" x14ac:dyDescent="0.3">
      <c r="C34" s="69" t="b">
        <v>1</v>
      </c>
      <c r="D34" t="s">
        <v>185</v>
      </c>
    </row>
    <row r="35" spans="3:4" x14ac:dyDescent="0.25">
      <c r="C35" s="68"/>
      <c r="D35" t="s">
        <v>197</v>
      </c>
    </row>
    <row r="36" spans="3:4" ht="15.75" thickBot="1" x14ac:dyDescent="0.3"/>
    <row r="37" spans="3:4" ht="15.75" thickBot="1" x14ac:dyDescent="0.3">
      <c r="C37" s="69" t="b">
        <v>0</v>
      </c>
      <c r="D37" t="s">
        <v>221</v>
      </c>
    </row>
    <row r="38" spans="3:4" ht="15.75" thickBot="1" x14ac:dyDescent="0.3">
      <c r="C38" s="68"/>
    </row>
    <row r="39" spans="3:4" ht="15.75" thickBot="1" x14ac:dyDescent="0.3">
      <c r="C39" s="69" t="b">
        <v>1</v>
      </c>
      <c r="D39" t="s">
        <v>220</v>
      </c>
    </row>
    <row r="40" spans="3:4" x14ac:dyDescent="0.25">
      <c r="D40" t="s">
        <v>167</v>
      </c>
    </row>
    <row r="41" spans="3:4" ht="15.75" thickBot="1" x14ac:dyDescent="0.3">
      <c r="C41" s="68"/>
    </row>
    <row r="42" spans="3:4" ht="15.75" thickBot="1" x14ac:dyDescent="0.3">
      <c r="C42" s="69" t="b">
        <v>0</v>
      </c>
      <c r="D42" t="s">
        <v>203</v>
      </c>
    </row>
    <row r="43" spans="3:4" x14ac:dyDescent="0.25">
      <c r="D43" t="s">
        <v>204</v>
      </c>
    </row>
    <row r="44" spans="3:4" ht="15.75" thickBot="1" x14ac:dyDescent="0.3">
      <c r="C44" s="68"/>
    </row>
    <row r="45" spans="3:4" ht="15.75" thickBot="1" x14ac:dyDescent="0.3">
      <c r="C45" s="69" t="b">
        <v>0</v>
      </c>
      <c r="D45" t="s">
        <v>222</v>
      </c>
    </row>
    <row r="46" spans="3:4" ht="15.75" thickBot="1" x14ac:dyDescent="0.3">
      <c r="C46" s="68"/>
    </row>
    <row r="47" spans="3:4" ht="15.75" thickBot="1" x14ac:dyDescent="0.3">
      <c r="C47" s="69" t="b">
        <v>1</v>
      </c>
      <c r="D47" t="s">
        <v>223</v>
      </c>
    </row>
    <row r="48" spans="3:4" ht="15.75" thickBot="1" x14ac:dyDescent="0.3"/>
    <row r="49" spans="3:6" ht="15.75" thickBot="1" x14ac:dyDescent="0.3">
      <c r="C49" s="69" t="b">
        <v>0</v>
      </c>
      <c r="D49" t="s">
        <v>168</v>
      </c>
    </row>
    <row r="50" spans="3:6" ht="15.75" thickBot="1" x14ac:dyDescent="0.3"/>
    <row r="51" spans="3:6" ht="15.75" thickBot="1" x14ac:dyDescent="0.3">
      <c r="C51" s="97" t="b">
        <v>1</v>
      </c>
      <c r="D51" s="67" t="s">
        <v>202</v>
      </c>
    </row>
    <row r="52" spans="3:6" x14ac:dyDescent="0.25">
      <c r="D52" t="s">
        <v>123</v>
      </c>
    </row>
    <row r="53" spans="3:6" ht="15.75" thickBot="1" x14ac:dyDescent="0.3"/>
    <row r="54" spans="3:6" ht="15.75" thickBot="1" x14ac:dyDescent="0.3">
      <c r="C54" s="97" t="b">
        <v>1</v>
      </c>
      <c r="D54" t="s">
        <v>180</v>
      </c>
      <c r="E54" s="68"/>
      <c r="F54"/>
    </row>
    <row r="55" spans="3:6" x14ac:dyDescent="0.25">
      <c r="D55" t="s">
        <v>177</v>
      </c>
      <c r="E55" s="68"/>
      <c r="F55"/>
    </row>
    <row r="56" spans="3:6" ht="15.75" thickBot="1" x14ac:dyDescent="0.3"/>
    <row r="57" spans="3:6" ht="15.75" thickBot="1" x14ac:dyDescent="0.3">
      <c r="C57" s="97" t="b">
        <v>0</v>
      </c>
      <c r="D57" s="67" t="s">
        <v>187</v>
      </c>
      <c r="E57" s="68"/>
      <c r="F57"/>
    </row>
    <row r="58" spans="3:6" x14ac:dyDescent="0.25">
      <c r="D58" t="s">
        <v>186</v>
      </c>
      <c r="E58" s="68"/>
      <c r="F58"/>
    </row>
    <row r="59" spans="3:6" ht="15.75" thickBot="1" x14ac:dyDescent="0.3"/>
    <row r="60" spans="3:6" ht="15.75" thickBot="1" x14ac:dyDescent="0.3">
      <c r="C60" s="97" t="b">
        <v>1</v>
      </c>
      <c r="D60" s="67" t="s">
        <v>181</v>
      </c>
      <c r="E60" s="68"/>
      <c r="F60"/>
    </row>
    <row r="61" spans="3:6" x14ac:dyDescent="0.25">
      <c r="D61" t="s">
        <v>182</v>
      </c>
      <c r="E61" s="68"/>
      <c r="F61"/>
    </row>
    <row r="62" spans="3:6" ht="11.25" customHeight="1" thickBot="1" x14ac:dyDescent="0.3">
      <c r="E62" s="68"/>
      <c r="F62"/>
    </row>
    <row r="63" spans="3:6" ht="15.75" thickBot="1" x14ac:dyDescent="0.3">
      <c r="C63" s="97" t="b">
        <v>0</v>
      </c>
      <c r="D63" s="67" t="s">
        <v>224</v>
      </c>
      <c r="E63" s="68"/>
      <c r="F63"/>
    </row>
    <row r="64" spans="3:6" ht="15.75" thickBot="1" x14ac:dyDescent="0.3">
      <c r="E64" s="68"/>
      <c r="F64"/>
    </row>
    <row r="65" spans="2:17" ht="15.75" thickBot="1" x14ac:dyDescent="0.3">
      <c r="C65" s="97" t="b">
        <v>0</v>
      </c>
      <c r="D65" s="67" t="s">
        <v>198</v>
      </c>
      <c r="E65" s="68"/>
      <c r="F65"/>
    </row>
    <row r="66" spans="2:17" x14ac:dyDescent="0.25">
      <c r="E66" s="68"/>
      <c r="F66"/>
    </row>
    <row r="67" spans="2:17" ht="15.75" thickBot="1" x14ac:dyDescent="0.3">
      <c r="B67" s="1"/>
      <c r="C67" s="1"/>
      <c r="D67" s="1"/>
      <c r="E67" s="1"/>
      <c r="F67" s="99"/>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9"/>
  <sheetViews>
    <sheetView showGridLines="0" zoomScale="130" zoomScaleNormal="130" workbookViewId="0">
      <selection activeCell="D14" sqref="D14"/>
    </sheetView>
  </sheetViews>
  <sheetFormatPr defaultRowHeight="15" x14ac:dyDescent="0.25"/>
  <cols>
    <col min="3" max="3" width="3.42578125" customWidth="1"/>
    <col min="6" max="6" width="3.42578125" customWidth="1"/>
    <col min="9" max="9" width="3.42578125" customWidth="1"/>
  </cols>
  <sheetData>
    <row r="2" spans="2:10" ht="21" x14ac:dyDescent="0.35">
      <c r="B2" s="73" t="s">
        <v>169</v>
      </c>
      <c r="C2" s="73"/>
    </row>
    <row r="3" spans="2:10" ht="15.75" thickBot="1" x14ac:dyDescent="0.3"/>
    <row r="4" spans="2:10" x14ac:dyDescent="0.25">
      <c r="B4" s="74">
        <v>1</v>
      </c>
      <c r="C4" s="111"/>
      <c r="D4" s="70" t="str">
        <f>'MC-TF - 20 Pts'!C6</f>
        <v>D</v>
      </c>
      <c r="E4" s="74">
        <v>7</v>
      </c>
      <c r="F4" s="111"/>
      <c r="G4" s="70" t="b">
        <f>'MC-TF - 20 Pts'!C39</f>
        <v>1</v>
      </c>
      <c r="H4" s="74">
        <v>13</v>
      </c>
      <c r="I4" s="111"/>
      <c r="J4" s="70" t="b">
        <f>'MC-TF - 20 Pts'!C54</f>
        <v>1</v>
      </c>
    </row>
    <row r="5" spans="2:10" x14ac:dyDescent="0.25">
      <c r="B5" s="75">
        <v>2</v>
      </c>
      <c r="C5" s="110"/>
      <c r="D5" s="71" t="str">
        <f>'MC-TF - 20 Pts'!C14</f>
        <v>C</v>
      </c>
      <c r="E5" s="75">
        <v>8</v>
      </c>
      <c r="F5" s="110"/>
      <c r="G5" s="71" t="b">
        <f>'MC-TF - 20 Pts'!C42</f>
        <v>0</v>
      </c>
      <c r="H5" s="75">
        <v>14</v>
      </c>
      <c r="I5" s="110"/>
      <c r="J5" s="71" t="b">
        <f>'MC-TF - 20 Pts'!C57</f>
        <v>0</v>
      </c>
    </row>
    <row r="6" spans="2:10" x14ac:dyDescent="0.25">
      <c r="B6" s="75">
        <v>3</v>
      </c>
      <c r="C6" s="110"/>
      <c r="D6" s="71" t="str">
        <f>'MC-TF - 20 Pts'!C22</f>
        <v>E</v>
      </c>
      <c r="E6" s="75">
        <v>9</v>
      </c>
      <c r="F6" s="110"/>
      <c r="G6" s="71" t="b">
        <f>'MC-TF - 20 Pts'!C45</f>
        <v>0</v>
      </c>
      <c r="H6" s="75">
        <v>15</v>
      </c>
      <c r="I6" s="110"/>
      <c r="J6" s="71" t="b">
        <f>'MC-TF - 20 Pts'!C60</f>
        <v>1</v>
      </c>
    </row>
    <row r="7" spans="2:10" x14ac:dyDescent="0.25">
      <c r="B7" s="75">
        <v>4</v>
      </c>
      <c r="C7" s="110"/>
      <c r="D7" s="71" t="b">
        <f>'MC-TF - 20 Pts'!C32</f>
        <v>0</v>
      </c>
      <c r="E7" s="75">
        <v>10</v>
      </c>
      <c r="F7" s="110"/>
      <c r="G7" s="71" t="b">
        <f>'MC-TF - 20 Pts'!C47</f>
        <v>1</v>
      </c>
      <c r="H7" s="75">
        <v>16</v>
      </c>
      <c r="I7" s="110"/>
      <c r="J7" s="71" t="b">
        <f>'MC-TF - 20 Pts'!C63</f>
        <v>0</v>
      </c>
    </row>
    <row r="8" spans="2:10" x14ac:dyDescent="0.25">
      <c r="B8" s="113">
        <v>5</v>
      </c>
      <c r="C8" s="114"/>
      <c r="D8" s="71" t="b">
        <f>'MC-TF - 20 Pts'!C34</f>
        <v>1</v>
      </c>
      <c r="E8" s="113">
        <v>11</v>
      </c>
      <c r="F8" s="114"/>
      <c r="G8" s="71" t="b">
        <f>'MC-TF - 20 Pts'!C49</f>
        <v>0</v>
      </c>
      <c r="H8" s="113">
        <v>17</v>
      </c>
      <c r="I8" s="114"/>
      <c r="J8" s="71" t="b">
        <f>'MC-TF - 20 Pts'!C65</f>
        <v>0</v>
      </c>
    </row>
    <row r="9" spans="2:10" ht="15.75" thickBot="1" x14ac:dyDescent="0.3">
      <c r="B9" s="76">
        <v>6</v>
      </c>
      <c r="C9" s="112"/>
      <c r="D9" s="72" t="b">
        <f>'MC-TF - 20 Pts'!C37</f>
        <v>0</v>
      </c>
      <c r="E9" s="76">
        <v>12</v>
      </c>
      <c r="F9" s="112"/>
      <c r="G9" s="72" t="b">
        <f>'MC-TF - 20 Pts'!C51</f>
        <v>1</v>
      </c>
      <c r="H9" s="115"/>
      <c r="I9" s="116"/>
      <c r="J9" s="1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Prob 1 - 30 Pts</vt:lpstr>
      <vt:lpstr>Prob 2 - 30 Pts </vt:lpstr>
      <vt:lpstr>Scenario Summary</vt:lpstr>
      <vt:lpstr>Prob 3 - 10 Pts</vt:lpstr>
      <vt:lpstr>Prob 4 - 10 Pts</vt:lpstr>
      <vt:lpstr>MC-TF - 20 Pts</vt:lpstr>
      <vt:lpstr>Sheet3</vt:lpstr>
      <vt:lpstr>Collect0</vt:lpstr>
      <vt:lpstr>Collect1</vt:lpstr>
      <vt:lpstr>Collect2</vt:lpstr>
      <vt:lpstr>NCF</vt:lpstr>
      <vt:lpstr>'Prob 1 - 30 Pts'!Print_Area</vt:lpstr>
      <vt:lpstr>'Prob 2 - 30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2021-10-06T14:39:41Z</dcterms:modified>
</cp:coreProperties>
</file>