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el\Dropbox\Class\Spring 2015\Exam 1\"/>
    </mc:Choice>
  </mc:AlternateContent>
  <bookViews>
    <workbookView xWindow="2640" yWindow="648" windowWidth="20112" windowHeight="7932" tabRatio="887"/>
  </bookViews>
  <sheets>
    <sheet name="INSTRUCTIONS" sheetId="8" r:id="rId1"/>
    <sheet name="Prob 1 - 25 Pts" sheetId="1" r:id="rId2"/>
    <sheet name="Prob 2 - 25 Pts " sheetId="6" r:id="rId3"/>
    <sheet name="Scenario Summary" sheetId="24" r:id="rId4"/>
    <sheet name="Prob 3 - 10 Pts" sheetId="7" r:id="rId5"/>
    <sheet name="Prob 4 - 10 - Pts" sheetId="21" r:id="rId6"/>
    <sheet name="Prob 5 - 10 Pts" sheetId="22" r:id="rId7"/>
    <sheet name="MC-TF - 20 Pts" sheetId="18" r:id="rId8"/>
    <sheet name="Sheet3" sheetId="19" r:id="rId9"/>
  </sheets>
  <definedNames>
    <definedName name="Collect0">'Prob 2 - 25 Pts '!$F$22</definedName>
    <definedName name="Collect1">'Prob 2 - 25 Pts '!$F$23</definedName>
    <definedName name="Collect2">'Prob 2 - 25 Pts '!$F$24</definedName>
    <definedName name="NCF">'Prob 2 - 25 Pts '!$F$43:$N$43</definedName>
    <definedName name="_xlnm.Print_Area" localSheetId="1">'Prob 1 - 25 Pts'!$B$17:$G$67</definedName>
    <definedName name="_xlnm.Print_Area" localSheetId="2">'Prob 2 - 25 Pts '!$B$20:$N$55</definedName>
  </definedNames>
  <calcPr calcId="152511"/>
</workbook>
</file>

<file path=xl/calcChain.xml><?xml version="1.0" encoding="utf-8"?>
<calcChain xmlns="http://schemas.openxmlformats.org/spreadsheetml/2006/main">
  <c r="C27" i="21" l="1"/>
  <c r="D20" i="21"/>
  <c r="E20" i="21" s="1"/>
  <c r="D21" i="21"/>
  <c r="E21" i="21" s="1"/>
  <c r="D90" i="1"/>
  <c r="D86" i="1"/>
  <c r="D78" i="1"/>
  <c r="D77" i="1"/>
  <c r="E32" i="1"/>
  <c r="D65" i="1"/>
  <c r="E44" i="1"/>
  <c r="C18" i="19" l="1"/>
  <c r="C17" i="19"/>
  <c r="C16" i="19"/>
  <c r="C15" i="19"/>
  <c r="C14" i="19"/>
  <c r="C13" i="19"/>
  <c r="C12" i="19"/>
  <c r="C11" i="19"/>
  <c r="C10" i="19"/>
  <c r="C9" i="19"/>
  <c r="C8" i="19"/>
  <c r="C7" i="19"/>
  <c r="C6" i="19"/>
  <c r="C5" i="19"/>
  <c r="C4" i="19"/>
  <c r="D27" i="22" l="1"/>
  <c r="C27" i="22"/>
  <c r="E8" i="21"/>
  <c r="D19" i="21"/>
  <c r="E19" i="21" s="1"/>
  <c r="D18" i="21"/>
  <c r="E18" i="21" s="1"/>
  <c r="D17" i="21"/>
  <c r="E17" i="21" s="1"/>
  <c r="D16" i="21"/>
  <c r="E16" i="21" s="1"/>
  <c r="D15" i="21"/>
  <c r="E15" i="21" s="1"/>
  <c r="D14" i="21"/>
  <c r="E14" i="21" s="1"/>
  <c r="D13" i="21"/>
  <c r="E13" i="21" s="1"/>
  <c r="D12" i="21"/>
  <c r="E12" i="21" s="1"/>
  <c r="D11" i="21"/>
  <c r="E11" i="21" s="1"/>
  <c r="D10" i="21"/>
  <c r="E10" i="21" s="1"/>
  <c r="D9" i="21"/>
  <c r="E9" i="21" s="1"/>
  <c r="D8" i="21"/>
  <c r="D94" i="1"/>
  <c r="C25" i="21" l="1"/>
  <c r="K63" i="1"/>
  <c r="F46" i="6" l="1"/>
  <c r="G42" i="6" s="1"/>
  <c r="F42" i="6"/>
  <c r="J36" i="6"/>
  <c r="I36" i="6"/>
  <c r="H36" i="6"/>
  <c r="G36" i="6"/>
  <c r="N33" i="6"/>
  <c r="N38" i="6" s="1"/>
  <c r="M33" i="6"/>
  <c r="M38" i="6" s="1"/>
  <c r="L33" i="6"/>
  <c r="L38" i="6" s="1"/>
  <c r="K33" i="6"/>
  <c r="K38" i="6" s="1"/>
  <c r="J33" i="6"/>
  <c r="I33" i="6"/>
  <c r="H33" i="6"/>
  <c r="G33" i="6"/>
  <c r="F33" i="6"/>
  <c r="F38" i="6" s="1"/>
  <c r="N31" i="6"/>
  <c r="M31" i="6"/>
  <c r="L31" i="6"/>
  <c r="K31" i="6"/>
  <c r="J31" i="6"/>
  <c r="I31" i="6"/>
  <c r="H31" i="6"/>
  <c r="G31" i="6"/>
  <c r="F31" i="6"/>
  <c r="D56" i="1"/>
  <c r="D80" i="1" s="1"/>
  <c r="D50" i="1"/>
  <c r="D47" i="1"/>
  <c r="D46" i="1"/>
  <c r="E66" i="1"/>
  <c r="E60" i="1"/>
  <c r="E62" i="1" s="1"/>
  <c r="E52" i="1"/>
  <c r="E49" i="1"/>
  <c r="G32" i="1"/>
  <c r="G30" i="1"/>
  <c r="G28" i="1"/>
  <c r="G27" i="1"/>
  <c r="G26" i="1"/>
  <c r="G24" i="1"/>
  <c r="G23" i="1"/>
  <c r="D30" i="1"/>
  <c r="D28" i="1"/>
  <c r="D27" i="1"/>
  <c r="D26" i="1"/>
  <c r="D23" i="1"/>
  <c r="E25" i="1"/>
  <c r="G25" i="1" s="1"/>
  <c r="E67" i="1" l="1"/>
  <c r="G44" i="1" s="1"/>
  <c r="G46" i="6"/>
  <c r="H46" i="6" s="1"/>
  <c r="I46" i="6" s="1"/>
  <c r="J46" i="6" s="1"/>
  <c r="E54" i="1"/>
  <c r="G62" i="1"/>
  <c r="F26" i="1"/>
  <c r="F23" i="1"/>
  <c r="F27" i="1"/>
  <c r="E29" i="1"/>
  <c r="D24" i="1"/>
  <c r="F24" i="1" s="1"/>
  <c r="F30" i="1"/>
  <c r="D60" i="1"/>
  <c r="D62" i="1" s="1"/>
  <c r="D51" i="1"/>
  <c r="D52" i="1" s="1"/>
  <c r="J38" i="6"/>
  <c r="J43" i="6" s="1"/>
  <c r="M43" i="6"/>
  <c r="F43" i="6"/>
  <c r="F44" i="6" s="1"/>
  <c r="F45" i="6" s="1"/>
  <c r="F48" i="6" s="1"/>
  <c r="F52" i="6" s="1"/>
  <c r="K6" i="7" s="1"/>
  <c r="N43" i="6"/>
  <c r="H38" i="6"/>
  <c r="H43" i="6" s="1"/>
  <c r="L43" i="6"/>
  <c r="G38" i="6"/>
  <c r="G43" i="6" s="1"/>
  <c r="G44" i="6" s="1"/>
  <c r="K43" i="6"/>
  <c r="I38" i="6"/>
  <c r="I43" i="6" s="1"/>
  <c r="F28" i="1"/>
  <c r="J42" i="6"/>
  <c r="H42" i="6" l="1"/>
  <c r="H44" i="6" s="1"/>
  <c r="H45" i="6" s="1"/>
  <c r="I42" i="6"/>
  <c r="G45" i="6"/>
  <c r="G48" i="6" s="1"/>
  <c r="G52" i="6" s="1"/>
  <c r="L6" i="7" s="1"/>
  <c r="D25" i="1"/>
  <c r="F25" i="1" s="1"/>
  <c r="G66" i="1"/>
  <c r="G64" i="1"/>
  <c r="G60" i="1"/>
  <c r="G51" i="1"/>
  <c r="G65" i="1"/>
  <c r="G61" i="1"/>
  <c r="G57" i="1"/>
  <c r="G52" i="1"/>
  <c r="G48" i="1"/>
  <c r="G56" i="1"/>
  <c r="G47" i="1"/>
  <c r="G67" i="1"/>
  <c r="G63" i="1"/>
  <c r="G59" i="1"/>
  <c r="G50" i="1"/>
  <c r="G46" i="1"/>
  <c r="G58" i="1"/>
  <c r="G53" i="1"/>
  <c r="G45" i="1"/>
  <c r="E31" i="1"/>
  <c r="G29" i="1"/>
  <c r="G49" i="1"/>
  <c r="G54" i="1"/>
  <c r="F53" i="6"/>
  <c r="K7" i="7" s="1"/>
  <c r="J44" i="6"/>
  <c r="J45" i="6" s="1"/>
  <c r="I44" i="6"/>
  <c r="I45" i="6" s="1"/>
  <c r="K46" i="6"/>
  <c r="K42" i="6"/>
  <c r="K44" i="6" s="1"/>
  <c r="K45" i="6" s="1"/>
  <c r="D29" i="1" l="1"/>
  <c r="F29" i="1" s="1"/>
  <c r="G31" i="1"/>
  <c r="E33" i="1"/>
  <c r="G33" i="1" s="1"/>
  <c r="G53" i="6"/>
  <c r="L7" i="7" s="1"/>
  <c r="H48" i="6"/>
  <c r="I48" i="6" s="1"/>
  <c r="L46" i="6"/>
  <c r="L42" i="6"/>
  <c r="L44" i="6" s="1"/>
  <c r="D31" i="1" l="1"/>
  <c r="F31" i="1" s="1"/>
  <c r="H52" i="6"/>
  <c r="M6" i="7" s="1"/>
  <c r="H53" i="6"/>
  <c r="M7" i="7" s="1"/>
  <c r="L45" i="6"/>
  <c r="J48" i="6"/>
  <c r="I52" i="6"/>
  <c r="N6" i="7" s="1"/>
  <c r="I53" i="6"/>
  <c r="N7" i="7" s="1"/>
  <c r="M46" i="6"/>
  <c r="M42" i="6"/>
  <c r="M44" i="6" s="1"/>
  <c r="M45" i="6" l="1"/>
  <c r="D32" i="1"/>
  <c r="D33" i="1" s="1"/>
  <c r="K48" i="6"/>
  <c r="J53" i="6"/>
  <c r="O7" i="7" s="1"/>
  <c r="J52" i="6"/>
  <c r="O6" i="7" s="1"/>
  <c r="N46" i="6"/>
  <c r="N42" i="6"/>
  <c r="N44" i="6" s="1"/>
  <c r="F32" i="1" l="1"/>
  <c r="D66" i="1"/>
  <c r="D67" i="1" s="1"/>
  <c r="F66" i="1" s="1"/>
  <c r="F33" i="1"/>
  <c r="D35" i="1"/>
  <c r="N45" i="6"/>
  <c r="L48" i="6"/>
  <c r="K52" i="6"/>
  <c r="P6" i="7" s="1"/>
  <c r="K53" i="6"/>
  <c r="P7" i="7" s="1"/>
  <c r="F67" i="1" l="1"/>
  <c r="F48" i="1"/>
  <c r="F52" i="1"/>
  <c r="F61" i="1"/>
  <c r="F57" i="1"/>
  <c r="D54" i="1"/>
  <c r="F58" i="1"/>
  <c r="F45" i="1"/>
  <c r="F60" i="1"/>
  <c r="F62" i="1"/>
  <c r="F59" i="1"/>
  <c r="F47" i="1"/>
  <c r="F64" i="1"/>
  <c r="F63" i="1"/>
  <c r="F51" i="1"/>
  <c r="F53" i="1"/>
  <c r="F46" i="1"/>
  <c r="F56" i="1"/>
  <c r="F50" i="1"/>
  <c r="F65" i="1"/>
  <c r="M48" i="6"/>
  <c r="L52" i="6"/>
  <c r="Q6" i="7" s="1"/>
  <c r="L53" i="6"/>
  <c r="Q7" i="7" s="1"/>
  <c r="F54" i="1" l="1"/>
  <c r="D49" i="1"/>
  <c r="D44" i="1" s="1"/>
  <c r="F44" i="1" s="1"/>
  <c r="N48" i="6"/>
  <c r="M53" i="6"/>
  <c r="R7" i="7" s="1"/>
  <c r="M52" i="6"/>
  <c r="R6" i="7" s="1"/>
  <c r="F49" i="1" l="1"/>
  <c r="N53" i="6"/>
  <c r="S7" i="7" s="1"/>
  <c r="N52" i="6"/>
  <c r="S6" i="7" s="1"/>
</calcChain>
</file>

<file path=xl/sharedStrings.xml><?xml version="1.0" encoding="utf-8"?>
<sst xmlns="http://schemas.openxmlformats.org/spreadsheetml/2006/main" count="286" uniqueCount="236">
  <si>
    <t>Tax Rate</t>
  </si>
  <si>
    <t>Common Shares Outstanding</t>
  </si>
  <si>
    <t>Selling and G&amp;A Expenses</t>
  </si>
  <si>
    <t>Fixed Expenses</t>
  </si>
  <si>
    <t>Depreciation</t>
  </si>
  <si>
    <t>Interest Expense</t>
  </si>
  <si>
    <t>Dividends Per Share</t>
  </si>
  <si>
    <t>Accounts Receivable</t>
  </si>
  <si>
    <t>Inventory</t>
  </si>
  <si>
    <t xml:space="preserve">Accounts Payable </t>
  </si>
  <si>
    <t>Income Statements</t>
  </si>
  <si>
    <t>(Thousands of Dollars)</t>
  </si>
  <si>
    <t>Sales</t>
  </si>
  <si>
    <t>Cost of Goods</t>
  </si>
  <si>
    <t>Gross Profit</t>
  </si>
  <si>
    <t>EBIT</t>
  </si>
  <si>
    <t>Earnings Before Taxes</t>
  </si>
  <si>
    <t>Taxes</t>
  </si>
  <si>
    <t>Net Income</t>
  </si>
  <si>
    <t>Earnings Per Share</t>
  </si>
  <si>
    <t>Balance Sheets</t>
  </si>
  <si>
    <t>Cash</t>
  </si>
  <si>
    <t>Marketable Secutities</t>
  </si>
  <si>
    <t xml:space="preserve">Accounts Receivable </t>
  </si>
  <si>
    <t>Prepaid Expenses</t>
  </si>
  <si>
    <t>Total Current Assets</t>
  </si>
  <si>
    <t>Plant and Equipment</t>
  </si>
  <si>
    <t>Accumlated Depreciation</t>
  </si>
  <si>
    <t>Net Fixed Assets</t>
  </si>
  <si>
    <t>Long-Term Investments</t>
  </si>
  <si>
    <t>Total Assets</t>
  </si>
  <si>
    <t>Accounts Payable</t>
  </si>
  <si>
    <t>Notes Payable</t>
  </si>
  <si>
    <t>Accrued Expenses</t>
  </si>
  <si>
    <t>Other Current Liabilities</t>
  </si>
  <si>
    <t>Total Current Liabilities</t>
  </si>
  <si>
    <t>Long-Term Debt</t>
  </si>
  <si>
    <t>Total Liabilities</t>
  </si>
  <si>
    <t>Common Stock</t>
  </si>
  <si>
    <t>Additional Paid-In Capital</t>
  </si>
  <si>
    <t>Retained Earnings</t>
  </si>
  <si>
    <t>Total Shareholders Equity</t>
  </si>
  <si>
    <t>Total Liabilities and Owners Equity</t>
  </si>
  <si>
    <t>Statement of Cash Flows</t>
  </si>
  <si>
    <t>Cash Flows from Operations</t>
  </si>
  <si>
    <t xml:space="preserve">Net Income </t>
  </si>
  <si>
    <t>Depreciation Expense</t>
  </si>
  <si>
    <t>Change in Marketable Securities</t>
  </si>
  <si>
    <t>Change in Accounts Receivable</t>
  </si>
  <si>
    <t>Change in Inventories</t>
  </si>
  <si>
    <t>Change in Prepaid Expenses</t>
  </si>
  <si>
    <t>Change in Accounts Payable</t>
  </si>
  <si>
    <t>Change in Other Current Liabilities</t>
  </si>
  <si>
    <t>Total Cash Flows from Operations</t>
  </si>
  <si>
    <t>Cash Flows From Investing</t>
  </si>
  <si>
    <t xml:space="preserve">Change in Plant and Equipment </t>
  </si>
  <si>
    <t>Change in Long-Term Investments</t>
  </si>
  <si>
    <t>Total Cash Flows from Investing</t>
  </si>
  <si>
    <t>Cash Flows from Financing</t>
  </si>
  <si>
    <t>Change in Long-Term Debt</t>
  </si>
  <si>
    <t>Change in Common Stock</t>
  </si>
  <si>
    <t>Change in Paid-In Capital</t>
  </si>
  <si>
    <t>Cash Dividends Paid to Shareholders</t>
  </si>
  <si>
    <t>Total Cash Flows from Financing</t>
  </si>
  <si>
    <t>Net Change in the Cash Balance</t>
  </si>
  <si>
    <t>1.</t>
  </si>
  <si>
    <t xml:space="preserve">the information that is provided. All formulas and computations must </t>
  </si>
  <si>
    <t>2.</t>
  </si>
  <si>
    <t>in the inputs</t>
  </si>
  <si>
    <t>in Columns F and G.</t>
  </si>
  <si>
    <t>3.</t>
  </si>
  <si>
    <t>In the Statement of Cash Flows, create a formula in each of the yellow boxes</t>
  </si>
  <si>
    <t>that will produce the correct result for any values of the inputs.</t>
  </si>
  <si>
    <t xml:space="preserve">Additional Plant/Equipment </t>
  </si>
  <si>
    <t>Jan</t>
  </si>
  <si>
    <t>Feb</t>
  </si>
  <si>
    <t>Mar</t>
  </si>
  <si>
    <t>Apr</t>
  </si>
  <si>
    <t>May</t>
  </si>
  <si>
    <t>Jun</t>
  </si>
  <si>
    <t>Jul</t>
  </si>
  <si>
    <t>Aug</t>
  </si>
  <si>
    <t>Sep</t>
  </si>
  <si>
    <t>Oct</t>
  </si>
  <si>
    <t>Nov</t>
  </si>
  <si>
    <t>Dec</t>
  </si>
  <si>
    <t>Beginning Cash Balance</t>
  </si>
  <si>
    <t>Net Cash Flow</t>
  </si>
  <si>
    <t>Unadjusted Ending Cash Balance</t>
  </si>
  <si>
    <t>Adjustment Needed</t>
  </si>
  <si>
    <t>Ending Cash Balance</t>
  </si>
  <si>
    <t>Short-Term Loans Outstanding</t>
  </si>
  <si>
    <t>Marketable Securities</t>
  </si>
  <si>
    <t>INPUTS</t>
  </si>
  <si>
    <t>Desired End-Of-Month cash balance</t>
  </si>
  <si>
    <t>CASH BUDGET</t>
  </si>
  <si>
    <t>Lease Payments</t>
  </si>
  <si>
    <t>Tax Payments</t>
  </si>
  <si>
    <t>Change in Notes Payable</t>
  </si>
  <si>
    <t>Collections on sales in the month of the sale</t>
  </si>
  <si>
    <t>Capital Outlay for New Equipment</t>
  </si>
  <si>
    <t>Collections on sales in the month following the sale</t>
  </si>
  <si>
    <t>Collections on sales in the second month following the sale</t>
  </si>
  <si>
    <t>Month of the Capital Outlay</t>
  </si>
  <si>
    <t>Cash Operating Expenses as a Percentage of Current Month Sales</t>
  </si>
  <si>
    <t>Expected Sales</t>
  </si>
  <si>
    <t>Collections on Sales</t>
  </si>
  <si>
    <t>Cash Operating Expenses</t>
  </si>
  <si>
    <t>Capital Outlay</t>
  </si>
  <si>
    <t>Total Cash Outflows</t>
  </si>
  <si>
    <t>Short-Term Loans and Marketable Securities</t>
  </si>
  <si>
    <t xml:space="preserve">IMPORTANT: SAVE THIS SPREADSHEET TO THE DESKTOP OF THE </t>
  </si>
  <si>
    <t>COMPUTER YOU ARE USING. WITH YOUR NAME IN THE FILENAME.</t>
  </si>
  <si>
    <t>RESAVE IT OFTEN WHILE YOU ARE WORKING ON IT.</t>
  </si>
  <si>
    <t>NOTHING SHOULD BE USED OR ACCESSED BY YOU DURING THIS</t>
  </si>
  <si>
    <t>Points are shown on each tab. Partial credit will be given where possible.</t>
  </si>
  <si>
    <t>Follow the instructions on each tabbed page.</t>
  </si>
  <si>
    <t xml:space="preserve">THE PENALTY FOR ACADEMIC DISHONESTY IN THIS COURSE IS AN </t>
  </si>
  <si>
    <t xml:space="preserve">"F" GRADE FOR THE COURSE AND POSSIBLE EXPULSION FROM THE </t>
  </si>
  <si>
    <t>UNIVERSITY OF MISSISSIPPI.</t>
  </si>
  <si>
    <t>When you have completed this exam spreadsheet:</t>
  </si>
  <si>
    <t>Save it one last time to the desktop of your computer.</t>
  </si>
  <si>
    <t>e.    More than one of the above</t>
  </si>
  <si>
    <t>Type the letter
of your answer in
the highlighed cell</t>
  </si>
  <si>
    <r>
      <t>e.</t>
    </r>
    <r>
      <rPr>
        <sz val="7"/>
        <color theme="1"/>
        <rFont val="Times New Roman"/>
        <family val="1"/>
      </rPr>
      <t xml:space="preserve">      </t>
    </r>
    <r>
      <rPr>
        <sz val="11"/>
        <color theme="1"/>
        <rFont val="Calibri"/>
        <family val="2"/>
        <scheme val="minor"/>
      </rPr>
      <t>All of the above can be found in the common size statements</t>
    </r>
  </si>
  <si>
    <t>Type the word TRUE
or FALSE in the
highlighted cell</t>
  </si>
  <si>
    <t xml:space="preserve">       the total value of a company during a given period.</t>
  </si>
  <si>
    <t>Multiple Choice
-2 Points per incorrect answer</t>
  </si>
  <si>
    <t>True/False
-2 Points per incorrect answer</t>
  </si>
  <si>
    <t xml:space="preserve">     representations of the true current values of the firm's assets.</t>
  </si>
  <si>
    <t>TEST EXCEPT THE COMPUTER YOU ARE USING AND THIS FILE.</t>
  </si>
  <si>
    <t>There are 7 tabbed pages in this exam spreadsheet including this one.</t>
  </si>
  <si>
    <t>The last tabbed page, named MC-TF, contains objective questions that</t>
  </si>
  <si>
    <t>on that page.</t>
  </si>
  <si>
    <t>Close Excel.</t>
  </si>
  <si>
    <t>Tell your proctor that you have finished.</t>
  </si>
  <si>
    <t>June</t>
  </si>
  <si>
    <t>July</t>
  </si>
  <si>
    <t>August</t>
  </si>
  <si>
    <t>Cumulative Adjustment</t>
  </si>
  <si>
    <t>Collect0</t>
  </si>
  <si>
    <t>Collect1</t>
  </si>
  <si>
    <t>Collect2</t>
  </si>
  <si>
    <t>$F$43</t>
  </si>
  <si>
    <t>$G$43</t>
  </si>
  <si>
    <t>$H$43</t>
  </si>
  <si>
    <t>$I$43</t>
  </si>
  <si>
    <t>$J$43</t>
  </si>
  <si>
    <t>$K$43</t>
  </si>
  <si>
    <t>$L$43</t>
  </si>
  <si>
    <t>$M$43</t>
  </si>
  <si>
    <t>$N$43</t>
  </si>
  <si>
    <t>Good</t>
  </si>
  <si>
    <t>Normal</t>
  </si>
  <si>
    <t>Bad</t>
  </si>
  <si>
    <t>Scenario Summary</t>
  </si>
  <si>
    <t>Changing Cells:</t>
  </si>
  <si>
    <t>Current Values:</t>
  </si>
  <si>
    <t>Result Cells:</t>
  </si>
  <si>
    <t>Notes:  Current Values column represents values of changing cells at</t>
  </si>
  <si>
    <t>time Scenario Summary Report was created.  Changing cells for each</t>
  </si>
  <si>
    <t>scenario are highlighted in gray.</t>
  </si>
  <si>
    <t>APR</t>
  </si>
  <si>
    <t>MAY</t>
  </si>
  <si>
    <t>JUN</t>
  </si>
  <si>
    <t>JUL</t>
  </si>
  <si>
    <t>AUG</t>
  </si>
  <si>
    <t>SEP</t>
  </si>
  <si>
    <t>OCT</t>
  </si>
  <si>
    <t>NOV</t>
  </si>
  <si>
    <t>DEC</t>
  </si>
  <si>
    <t>Mkt'l Securities</t>
  </si>
  <si>
    <t>Short-Term Loans</t>
  </si>
  <si>
    <t>C</t>
  </si>
  <si>
    <t>Elvis Products International</t>
  </si>
  <si>
    <t>Income Statement</t>
  </si>
  <si>
    <t>Cost of Goods Sold</t>
  </si>
  <si>
    <t>count 20 points toward the total of 100 points for this exam. Follow the instructions</t>
  </si>
  <si>
    <r>
      <t>2.</t>
    </r>
    <r>
      <rPr>
        <sz val="7"/>
        <color theme="1"/>
        <rFont val="Times New Roman"/>
        <family val="1"/>
      </rPr>
      <t xml:space="preserve">       </t>
    </r>
    <r>
      <rPr>
        <sz val="11"/>
        <color theme="1"/>
        <rFont val="Calibri"/>
        <family val="2"/>
        <scheme val="minor"/>
      </rPr>
      <t>Which of the following would appear as a USE of cash on the statement of cash flows?</t>
    </r>
  </si>
  <si>
    <r>
      <t>d.</t>
    </r>
    <r>
      <rPr>
        <sz val="7"/>
        <color theme="1"/>
        <rFont val="Times New Roman"/>
        <family val="1"/>
      </rPr>
      <t xml:space="preserve">      </t>
    </r>
    <r>
      <rPr>
        <sz val="11"/>
        <color theme="1"/>
        <rFont val="Calibri"/>
        <family val="2"/>
        <scheme val="minor"/>
      </rPr>
      <t>More than one of the above.</t>
    </r>
  </si>
  <si>
    <r>
      <t>e.</t>
    </r>
    <r>
      <rPr>
        <sz val="7"/>
        <color theme="1"/>
        <rFont val="Times New Roman"/>
        <family val="1"/>
      </rPr>
      <t xml:space="preserve">      </t>
    </r>
    <r>
      <rPr>
        <sz val="11"/>
        <color theme="1"/>
        <rFont val="Calibri"/>
        <family val="2"/>
        <scheme val="minor"/>
      </rPr>
      <t>None of the above.</t>
    </r>
  </si>
  <si>
    <t xml:space="preserve">      a common-sized balance sheet.</t>
  </si>
  <si>
    <t xml:space="preserve"> 11. Net Income is the same as cash flow to shareholders.</t>
  </si>
  <si>
    <t>Do not change anything on this page.</t>
  </si>
  <si>
    <t>Year</t>
  </si>
  <si>
    <t>Annual
Rate of
Return</t>
  </si>
  <si>
    <t>Price
Relative
Return</t>
  </si>
  <si>
    <t>Geometric Mean:</t>
  </si>
  <si>
    <t>using GEOMEAN function</t>
  </si>
  <si>
    <t>using direct calculation</t>
  </si>
  <si>
    <t>Stock
Price</t>
  </si>
  <si>
    <t>Net Profit Margin</t>
  </si>
  <si>
    <t xml:space="preserve">      its total value during the year.</t>
  </si>
  <si>
    <r>
      <t>a.</t>
    </r>
    <r>
      <rPr>
        <sz val="7"/>
        <color theme="1"/>
        <rFont val="Times New Roman"/>
        <family val="1"/>
      </rPr>
      <t xml:space="preserve">      </t>
    </r>
    <r>
      <rPr>
        <sz val="11"/>
        <color theme="1"/>
        <rFont val="Calibri"/>
        <family val="2"/>
        <scheme val="minor"/>
      </rPr>
      <t>Shows the change in a firm's value over a period of time.</t>
    </r>
  </si>
  <si>
    <r>
      <t>b.</t>
    </r>
    <r>
      <rPr>
        <sz val="7"/>
        <color theme="1"/>
        <rFont val="Times New Roman"/>
        <family val="1"/>
      </rPr>
      <t xml:space="preserve">       </t>
    </r>
    <r>
      <rPr>
        <sz val="11"/>
        <color theme="1"/>
        <rFont val="Calibri"/>
        <family val="2"/>
        <scheme val="minor"/>
      </rPr>
      <t>Is a financial statement that shows the firm's financial position at a particular point in time.</t>
    </r>
  </si>
  <si>
    <r>
      <t>c.</t>
    </r>
    <r>
      <rPr>
        <sz val="7"/>
        <color theme="1"/>
        <rFont val="Times New Roman"/>
        <family val="1"/>
      </rPr>
      <t xml:space="preserve">      </t>
    </r>
    <r>
      <rPr>
        <sz val="11"/>
        <color theme="1"/>
        <rFont val="Calibri"/>
        <family val="2"/>
        <scheme val="minor"/>
      </rPr>
      <t>Is a financial statement that summarizes a firm's revenues and expenses over a period of time.</t>
    </r>
  </si>
  <si>
    <r>
      <t>d.</t>
    </r>
    <r>
      <rPr>
        <sz val="7"/>
        <color theme="1"/>
        <rFont val="Times New Roman"/>
        <family val="1"/>
      </rPr>
      <t xml:space="preserve">       </t>
    </r>
    <r>
      <rPr>
        <sz val="11"/>
        <color theme="1"/>
        <rFont val="Calibri"/>
        <family val="2"/>
        <scheme val="minor"/>
      </rPr>
      <t>Is a financial statement that summarizes a firm's revenues and expenses at a particular point in time.</t>
    </r>
  </si>
  <si>
    <r>
      <t>c.</t>
    </r>
    <r>
      <rPr>
        <sz val="7"/>
        <color theme="1"/>
        <rFont val="Times New Roman"/>
        <family val="1"/>
      </rPr>
      <t xml:space="preserve">      </t>
    </r>
    <r>
      <rPr>
        <sz val="11"/>
        <color theme="1"/>
        <rFont val="Calibri"/>
        <family val="2"/>
        <scheme val="minor"/>
      </rPr>
      <t>Net profit margin</t>
    </r>
  </si>
  <si>
    <t xml:space="preserve">  13. The “true” profit for a company in a year would be the increase in </t>
  </si>
  <si>
    <t xml:space="preserve"> 15. The GEOMEAN function computes the geometric mean of a series of numbers, </t>
  </si>
  <si>
    <t xml:space="preserve">          but it only works correctly if all of the numbers are positive.</t>
  </si>
  <si>
    <t>FY
2012</t>
  </si>
  <si>
    <t>2013</t>
  </si>
  <si>
    <t>FY
2013</t>
  </si>
  <si>
    <r>
      <t>b.</t>
    </r>
    <r>
      <rPr>
        <sz val="7"/>
        <color theme="1"/>
        <rFont val="Times New Roman"/>
        <family val="1"/>
      </rPr>
      <t xml:space="preserve">      </t>
    </r>
    <r>
      <rPr>
        <sz val="11"/>
        <color theme="1"/>
        <rFont val="Calibri"/>
        <family val="2"/>
        <scheme val="minor"/>
      </rPr>
      <t>A decrease in inventory on the balance sheet.</t>
    </r>
  </si>
  <si>
    <t>B</t>
  </si>
  <si>
    <t>Inputs for 2014</t>
  </si>
  <si>
    <r>
      <t xml:space="preserve">Note: 2014 Cost of Goods </t>
    </r>
    <r>
      <rPr>
        <b/>
        <u val="singleAccounting"/>
        <sz val="11"/>
        <color rgb="FFFF0000"/>
        <rFont val="Calibri"/>
        <family val="2"/>
        <scheme val="minor"/>
      </rPr>
      <t>as a percentage of sales</t>
    </r>
    <r>
      <rPr>
        <b/>
        <sz val="11"/>
        <color rgb="FFFF0000"/>
        <rFont val="Calibri"/>
        <family val="2"/>
        <scheme val="minor"/>
      </rPr>
      <t xml:space="preserve"> </t>
    </r>
    <r>
      <rPr>
        <b/>
        <sz val="11"/>
        <color theme="1"/>
        <rFont val="Calibri"/>
        <family val="2"/>
        <scheme val="minor"/>
      </rPr>
      <t>is the</t>
    </r>
  </si>
  <si>
    <t xml:space="preserve">    same as it was in 2013.</t>
  </si>
  <si>
    <t>Complete the 2013 and 2014 Income Statements and Balance Sheets using</t>
  </si>
  <si>
    <t xml:space="preserve">appropriately use the 2014 inputs. All computations should reflect any changes </t>
  </si>
  <si>
    <t>Create the common size income statements and balance sheets for 2013 and 2014</t>
  </si>
  <si>
    <t>2013-2014</t>
  </si>
  <si>
    <t>2014</t>
  </si>
  <si>
    <t>Created by Del on 9/22/2011
Modified by D Hawley on 9/22/2013
Modified by Del on 6/9/2014
Modified by Del Hawley on 2/16/2015</t>
  </si>
  <si>
    <t>Created by Del on 9/22/2011
Modified by Del on 6/9/2012
Modified by D Hawley on 9/22/2013
Modified by Del on 6/9/2014
Modified by Del Hawley on 2/16/2015</t>
  </si>
  <si>
    <t>For the Year Ended Dec. 31, 2014</t>
  </si>
  <si>
    <r>
      <t>1.</t>
    </r>
    <r>
      <rPr>
        <sz val="7"/>
        <color theme="1"/>
        <rFont val="Times New Roman"/>
        <family val="1"/>
      </rPr>
      <t xml:space="preserve">       </t>
    </r>
    <r>
      <rPr>
        <sz val="11"/>
        <color theme="1"/>
        <rFont val="Calibri"/>
        <family val="2"/>
        <scheme val="minor"/>
      </rPr>
      <t>The income statement:</t>
    </r>
  </si>
  <si>
    <r>
      <t>a.</t>
    </r>
    <r>
      <rPr>
        <sz val="7"/>
        <color theme="1"/>
        <rFont val="Times New Roman"/>
        <family val="1"/>
      </rPr>
      <t xml:space="preserve">       </t>
    </r>
    <r>
      <rPr>
        <sz val="11"/>
        <color theme="1"/>
        <rFont val="Calibri"/>
        <family val="2"/>
        <scheme val="minor"/>
      </rPr>
      <t>A decrease in Accounts Payable on the balance sheet.</t>
    </r>
  </si>
  <si>
    <r>
      <t>c.</t>
    </r>
    <r>
      <rPr>
        <sz val="7"/>
        <color theme="1"/>
        <rFont val="Times New Roman"/>
        <family val="1"/>
      </rPr>
      <t xml:space="preserve">       </t>
    </r>
    <r>
      <rPr>
        <sz val="11"/>
        <color theme="1"/>
        <rFont val="Calibri"/>
        <family val="2"/>
        <scheme val="minor"/>
      </rPr>
      <t>A decrease in Accounts Receivable on the balance sheet.</t>
    </r>
  </si>
  <si>
    <t>A</t>
  </si>
  <si>
    <r>
      <t>a.</t>
    </r>
    <r>
      <rPr>
        <sz val="7"/>
        <color theme="1"/>
        <rFont val="Times New Roman"/>
        <family val="1"/>
      </rPr>
      <t xml:space="preserve">       </t>
    </r>
    <r>
      <rPr>
        <sz val="11"/>
        <color theme="1"/>
        <rFont val="Calibri"/>
        <family val="2"/>
        <scheme val="minor"/>
      </rPr>
      <t>Gross profit margin</t>
    </r>
  </si>
  <si>
    <r>
      <t>b.</t>
    </r>
    <r>
      <rPr>
        <sz val="7"/>
        <color theme="1"/>
        <rFont val="Times New Roman"/>
        <family val="1"/>
      </rPr>
      <t xml:space="preserve">       </t>
    </r>
    <r>
      <rPr>
        <sz val="11"/>
        <color theme="1"/>
        <rFont val="Calibri"/>
        <family val="2"/>
        <scheme val="minor"/>
      </rPr>
      <t>Debt to equity ratio</t>
    </r>
  </si>
  <si>
    <r>
      <t>d.</t>
    </r>
    <r>
      <rPr>
        <sz val="7"/>
        <color theme="1"/>
        <rFont val="Times New Roman"/>
        <family val="1"/>
      </rPr>
      <t xml:space="preserve">      </t>
    </r>
    <r>
      <rPr>
        <sz val="11"/>
        <color theme="1"/>
        <rFont val="Calibri"/>
        <family val="2"/>
        <scheme val="minor"/>
      </rPr>
      <t>Debt to assets ratio</t>
    </r>
  </si>
  <si>
    <r>
      <rPr>
        <sz val="11"/>
        <color theme="1"/>
        <rFont val="Calibri"/>
        <family val="2"/>
        <scheme val="minor"/>
      </rPr>
      <t>3.</t>
    </r>
    <r>
      <rPr>
        <sz val="7"/>
        <color theme="1"/>
        <rFont val="Times New Roman"/>
        <family val="1"/>
      </rPr>
      <t xml:space="preserve">       </t>
    </r>
    <r>
      <rPr>
        <sz val="11"/>
        <color theme="1"/>
        <rFont val="Calibri"/>
        <family val="2"/>
        <scheme val="minor"/>
      </rPr>
      <t>Which of the following cannot be found in the common size statements of a company?</t>
    </r>
  </si>
  <si>
    <t xml:space="preserve">  4. Visicalc was the first spreadsheet program ever to be marketed for personal computers.</t>
  </si>
  <si>
    <t xml:space="preserve">  5. The retained earnings entry on an income statement is the after-tax profit (net income)   </t>
  </si>
  <si>
    <t xml:space="preserve">           plus depreciation for the period because depreciation is not a cash flow.</t>
  </si>
  <si>
    <t xml:space="preserve">  6. Retained earnings on the balance sheet represents reserve funds that can be used for new capital investments.</t>
  </si>
  <si>
    <t xml:space="preserve">  7. A financial statement with each item expressed as a percentage of total assets is called</t>
  </si>
  <si>
    <t xml:space="preserve">  8. The income statement is not intended to be an accurate representation of the increase in</t>
  </si>
  <si>
    <t xml:space="preserve">  9. Depreciation for a period is not included on the statement of cash flows because depreciation is not a cash flow.</t>
  </si>
  <si>
    <t xml:space="preserve"> 10. In the Statement of Cash Flows, and increase in cash Accounts Receivable would be listed as a SOURCE of cash.</t>
  </si>
  <si>
    <t xml:space="preserve"> 12. The book values of assets as shown on the balance sheet are meant to be accurate </t>
  </si>
  <si>
    <t xml:space="preserve">          on the balance sheet.</t>
  </si>
  <si>
    <t xml:space="preserve"> 14. The book value of a company's common stock equals Total Assets minus Long Term Debt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</si>
</sst>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 numFmtId="168" formatCode="_(* #,##0.0000_);_(* \(#,##0.0000\);_(* &quot;-&quot;??_);_(@_)"/>
    <numFmt numFmtId="169" formatCode="0.000%"/>
    <numFmt numFmtId="170" formatCode="0.0000%"/>
  </numFmts>
  <fonts count="2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val="singleAccounting"/>
      <sz val="11"/>
      <color rgb="FFFF0000"/>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7"/>
      <color theme="1"/>
      <name val="Times New Roman"/>
      <family val="1"/>
    </font>
    <font>
      <sz val="10"/>
      <color indexed="9"/>
      <name val="Calibri"/>
      <family val="2"/>
      <scheme val="minor"/>
    </font>
    <font>
      <sz val="8"/>
      <color theme="1"/>
      <name val="Calibri"/>
      <family val="2"/>
      <scheme val="minor"/>
    </font>
    <font>
      <sz val="11"/>
      <name val="Times New Roman"/>
      <family val="1"/>
    </font>
    <font>
      <sz val="10"/>
      <name val="MS Sans Serif"/>
      <family val="2"/>
    </font>
    <font>
      <b/>
      <i/>
      <u val="doubleAccounting"/>
      <sz val="11"/>
      <color theme="1"/>
      <name val="Calibri"/>
      <family val="2"/>
      <scheme val="minor"/>
    </font>
    <font>
      <b/>
      <sz val="16"/>
      <color rgb="FFFF0000"/>
      <name val="Calibri"/>
      <family val="2"/>
      <scheme val="minor"/>
    </font>
    <font>
      <b/>
      <sz val="11"/>
      <color theme="0" tint="-4.9989318521683403E-2"/>
      <name val="Calibri"/>
      <family val="2"/>
      <scheme val="minor"/>
    </font>
    <font>
      <sz val="14"/>
      <color theme="1"/>
      <name val="Calibri"/>
      <family val="2"/>
      <scheme val="minor"/>
    </font>
    <font>
      <b/>
      <sz val="18"/>
      <color theme="0" tint="-4.9989318521683403E-2"/>
      <name val="Calibri"/>
      <family val="2"/>
      <scheme val="minor"/>
    </font>
    <font>
      <b/>
      <sz val="12"/>
      <color indexed="9"/>
      <name val="Calibri"/>
      <family val="2"/>
      <scheme val="minor"/>
    </font>
    <font>
      <b/>
      <sz val="11"/>
      <color indexed="8"/>
      <name val="Calibri"/>
      <family val="2"/>
      <scheme val="minor"/>
    </font>
    <font>
      <b/>
      <sz val="11"/>
      <color indexed="18"/>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indexed="20"/>
        <bgColor indexed="24"/>
      </patternFill>
    </fill>
    <fill>
      <patternFill patternType="solid">
        <fgColor indexed="22"/>
        <bgColor indexed="24"/>
      </patternFill>
    </fill>
    <fill>
      <patternFill patternType="solid">
        <fgColor indexed="22"/>
        <bgColor indexed="7"/>
      </patternFill>
    </fill>
    <fill>
      <patternFill patternType="solid">
        <fgColor rgb="FF002060"/>
        <bgColor indexed="64"/>
      </patternFill>
    </fill>
    <fill>
      <patternFill patternType="solid">
        <fgColor theme="3" tint="0.79998168889431442"/>
        <bgColor indexed="64"/>
      </patternFill>
    </fill>
    <fill>
      <patternFill patternType="solid">
        <fgColor theme="1"/>
        <bgColor indexed="64"/>
      </patternFill>
    </fill>
    <fill>
      <patternFill patternType="solid">
        <fgColor theme="4" tint="-0.249977111117893"/>
        <bgColor indexed="64"/>
      </patternFill>
    </fill>
    <fill>
      <patternFill patternType="solid">
        <fgColor theme="8" tint="0.59999389629810485"/>
        <bgColor indexed="64"/>
      </patternFill>
    </fill>
  </fills>
  <borders count="34">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5" fillId="0" borderId="0"/>
    <xf numFmtId="40" fontId="16" fillId="0" borderId="0" applyFont="0" applyFill="0" applyBorder="0" applyAlignment="0" applyProtection="0"/>
  </cellStyleXfs>
  <cellXfs count="207">
    <xf numFmtId="0" fontId="0" fillId="0" borderId="0" xfId="0"/>
    <xf numFmtId="0" fontId="0" fillId="0" borderId="1" xfId="0" applyBorder="1"/>
    <xf numFmtId="0" fontId="0" fillId="0" borderId="0" xfId="0" applyNumberFormat="1"/>
    <xf numFmtId="43" fontId="0" fillId="0" borderId="0" xfId="0" applyNumberFormat="1"/>
    <xf numFmtId="43" fontId="0" fillId="0" borderId="0" xfId="0" applyNumberFormat="1" applyAlignment="1">
      <alignment horizontal="left" indent="2"/>
    </xf>
    <xf numFmtId="166" fontId="2" fillId="0" borderId="0" xfId="2" applyNumberFormat="1" applyFont="1"/>
    <xf numFmtId="43" fontId="0" fillId="0" borderId="1" xfId="0" applyNumberFormat="1" applyBorder="1" applyAlignment="1">
      <alignment horizontal="left" indent="2"/>
    </xf>
    <xf numFmtId="43" fontId="3" fillId="0" borderId="0" xfId="0" applyNumberFormat="1" applyFont="1" applyAlignment="1">
      <alignment horizontal="left"/>
    </xf>
    <xf numFmtId="43" fontId="3" fillId="0" borderId="1" xfId="0" applyNumberFormat="1" applyFont="1" applyBorder="1" applyAlignment="1">
      <alignment horizontal="left" indent="2"/>
    </xf>
    <xf numFmtId="0" fontId="4" fillId="0" borderId="0" xfId="0" applyFont="1" applyAlignment="1">
      <alignment horizontal="center"/>
    </xf>
    <xf numFmtId="44" fontId="0" fillId="0" borderId="0" xfId="0" applyNumberFormat="1"/>
    <xf numFmtId="10" fontId="0" fillId="0" borderId="0" xfId="3" applyNumberFormat="1" applyFont="1"/>
    <xf numFmtId="43" fontId="8" fillId="0" borderId="0" xfId="0" applyNumberFormat="1" applyFont="1"/>
    <xf numFmtId="167" fontId="0" fillId="0" borderId="0" xfId="0" applyNumberFormat="1"/>
    <xf numFmtId="0" fontId="4" fillId="0" borderId="0" xfId="0" quotePrefix="1" applyFont="1" applyAlignment="1">
      <alignment horizontal="center"/>
    </xf>
    <xf numFmtId="43" fontId="0" fillId="0" borderId="0" xfId="0" applyNumberFormat="1" applyAlignment="1">
      <alignment horizontal="left" indent="1"/>
    </xf>
    <xf numFmtId="44" fontId="0" fillId="0" borderId="0" xfId="2" applyFont="1"/>
    <xf numFmtId="43" fontId="8" fillId="0" borderId="0" xfId="0" applyNumberFormat="1" applyFont="1" applyAlignment="1">
      <alignment horizontal="left" indent="1"/>
    </xf>
    <xf numFmtId="43" fontId="3" fillId="0" borderId="0" xfId="0" applyNumberFormat="1" applyFont="1"/>
    <xf numFmtId="44" fontId="3" fillId="0" borderId="0" xfId="2" applyFont="1"/>
    <xf numFmtId="43" fontId="8" fillId="0" borderId="0" xfId="0" applyNumberFormat="1" applyFont="1" applyAlignment="1">
      <alignment horizontal="center"/>
    </xf>
    <xf numFmtId="43" fontId="9" fillId="0" borderId="0" xfId="0" applyNumberFormat="1" applyFont="1"/>
    <xf numFmtId="44" fontId="9" fillId="0" borderId="0" xfId="2" applyFont="1"/>
    <xf numFmtId="43" fontId="7" fillId="0" borderId="0" xfId="0" applyNumberFormat="1" applyFont="1"/>
    <xf numFmtId="44" fontId="7" fillId="0" borderId="0" xfId="2" applyFont="1"/>
    <xf numFmtId="43" fontId="9" fillId="0" borderId="1" xfId="0" applyNumberFormat="1" applyFont="1" applyBorder="1"/>
    <xf numFmtId="44" fontId="9" fillId="0" borderId="1" xfId="2" applyFont="1" applyBorder="1"/>
    <xf numFmtId="43" fontId="10" fillId="0" borderId="0" xfId="0" applyNumberFormat="1" applyFont="1"/>
    <xf numFmtId="44" fontId="0" fillId="0" borderId="3" xfId="2" applyFont="1" applyBorder="1"/>
    <xf numFmtId="43" fontId="8" fillId="0" borderId="0" xfId="0" applyNumberFormat="1" applyFont="1"/>
    <xf numFmtId="0" fontId="0" fillId="0" borderId="0" xfId="0"/>
    <xf numFmtId="166" fontId="2" fillId="0" borderId="0" xfId="2" applyNumberFormat="1" applyFont="1"/>
    <xf numFmtId="41" fontId="0" fillId="0" borderId="1" xfId="0" applyNumberFormat="1" applyBorder="1"/>
    <xf numFmtId="41" fontId="0" fillId="0" borderId="0" xfId="0" applyNumberFormat="1"/>
    <xf numFmtId="41" fontId="8" fillId="0" borderId="0" xfId="0" applyNumberFormat="1" applyFont="1" applyAlignment="1">
      <alignment horizontal="left" indent="1"/>
    </xf>
    <xf numFmtId="41" fontId="8" fillId="0" borderId="0" xfId="0" applyNumberFormat="1" applyFont="1"/>
    <xf numFmtId="41" fontId="3" fillId="0" borderId="0" xfId="0" applyNumberFormat="1" applyFont="1"/>
    <xf numFmtId="41" fontId="9" fillId="0" borderId="0" xfId="0" applyNumberFormat="1" applyFont="1"/>
    <xf numFmtId="41" fontId="0" fillId="2" borderId="3" xfId="0" applyNumberFormat="1" applyFill="1" applyBorder="1"/>
    <xf numFmtId="41" fontId="0" fillId="0" borderId="0" xfId="0" applyNumberFormat="1" applyAlignment="1">
      <alignment vertical="center"/>
    </xf>
    <xf numFmtId="41" fontId="0" fillId="4" borderId="1" xfId="0" applyNumberFormat="1" applyFill="1" applyBorder="1" applyAlignment="1">
      <alignment vertical="center"/>
    </xf>
    <xf numFmtId="41" fontId="3" fillId="4" borderId="1" xfId="0" applyNumberFormat="1" applyFont="1" applyFill="1" applyBorder="1" applyAlignment="1">
      <alignment horizontal="center" vertical="center"/>
    </xf>
    <xf numFmtId="41" fontId="7" fillId="0" borderId="0" xfId="0" applyNumberFormat="1" applyFont="1" applyAlignment="1">
      <alignment horizontal="center"/>
    </xf>
    <xf numFmtId="166" fontId="2" fillId="2" borderId="3" xfId="2" applyNumberFormat="1" applyFont="1" applyFill="1" applyBorder="1"/>
    <xf numFmtId="9" fontId="2" fillId="2" borderId="3" xfId="0" applyNumberFormat="1" applyFont="1" applyFill="1" applyBorder="1"/>
    <xf numFmtId="166" fontId="1" fillId="0" borderId="0" xfId="2" applyNumberFormat="1" applyFont="1"/>
    <xf numFmtId="41" fontId="0" fillId="0" borderId="0" xfId="0" applyNumberFormat="1" applyFont="1"/>
    <xf numFmtId="166" fontId="8" fillId="0" borderId="0" xfId="2" applyNumberFormat="1" applyFont="1"/>
    <xf numFmtId="166" fontId="1" fillId="0" borderId="4" xfId="2" applyNumberFormat="1" applyFont="1" applyBorder="1"/>
    <xf numFmtId="41" fontId="7" fillId="0" borderId="0" xfId="0" applyNumberFormat="1" applyFont="1"/>
    <xf numFmtId="0" fontId="0" fillId="0" borderId="0" xfId="0"/>
    <xf numFmtId="0" fontId="0" fillId="0" borderId="0" xfId="0" applyNumberFormat="1"/>
    <xf numFmtId="0" fontId="0" fillId="0" borderId="0" xfId="0"/>
    <xf numFmtId="0" fontId="11" fillId="0" borderId="0" xfId="0" applyFont="1"/>
    <xf numFmtId="0" fontId="0" fillId="0" borderId="0" xfId="0"/>
    <xf numFmtId="0" fontId="11" fillId="0" borderId="0" xfId="0" applyFont="1"/>
    <xf numFmtId="43" fontId="0" fillId="0" borderId="0" xfId="0" applyNumberFormat="1"/>
    <xf numFmtId="43" fontId="0" fillId="2" borderId="4" xfId="0" applyNumberFormat="1" applyFill="1" applyBorder="1"/>
    <xf numFmtId="166" fontId="2" fillId="0" borderId="0" xfId="2" applyNumberFormat="1" applyFont="1"/>
    <xf numFmtId="166" fontId="1" fillId="0" borderId="0" xfId="2" applyNumberFormat="1" applyFont="1"/>
    <xf numFmtId="41" fontId="0" fillId="0" borderId="0" xfId="0" applyNumberFormat="1"/>
    <xf numFmtId="41" fontId="3" fillId="0" borderId="0" xfId="0" applyNumberFormat="1" applyFont="1"/>
    <xf numFmtId="0" fontId="0" fillId="0" borderId="0" xfId="0"/>
    <xf numFmtId="43" fontId="0" fillId="2" borderId="0" xfId="0" applyNumberFormat="1" applyFill="1"/>
    <xf numFmtId="43" fontId="8" fillId="2" borderId="0" xfId="0" applyNumberFormat="1" applyFont="1" applyFill="1"/>
    <xf numFmtId="0" fontId="0" fillId="0" borderId="0" xfId="0" applyFill="1" applyBorder="1" applyAlignment="1"/>
    <xf numFmtId="9" fontId="0" fillId="0" borderId="0" xfId="0" applyNumberFormat="1" applyFill="1" applyBorder="1" applyAlignment="1"/>
    <xf numFmtId="41" fontId="0" fillId="0" borderId="0" xfId="0" applyNumberFormat="1" applyFill="1" applyBorder="1" applyAlignment="1"/>
    <xf numFmtId="41" fontId="0" fillId="0" borderId="1" xfId="0" applyNumberFormat="1" applyFill="1" applyBorder="1" applyAlignment="1"/>
    <xf numFmtId="0" fontId="0" fillId="0" borderId="15" xfId="0" applyFill="1" applyBorder="1" applyAlignment="1"/>
    <xf numFmtId="0" fontId="13" fillId="5" borderId="6" xfId="0" applyFont="1" applyFill="1" applyBorder="1" applyAlignment="1">
      <alignment horizontal="right"/>
    </xf>
    <xf numFmtId="0" fontId="13" fillId="5" borderId="14" xfId="0" applyFont="1" applyFill="1" applyBorder="1" applyAlignment="1">
      <alignment horizontal="right"/>
    </xf>
    <xf numFmtId="9" fontId="0" fillId="7" borderId="0" xfId="0" applyNumberFormat="1" applyFill="1" applyBorder="1" applyAlignment="1"/>
    <xf numFmtId="0" fontId="14" fillId="0" borderId="0" xfId="0" applyFont="1" applyFill="1" applyBorder="1" applyAlignment="1">
      <alignment vertical="top" wrapText="1"/>
    </xf>
    <xf numFmtId="41" fontId="0" fillId="0" borderId="9" xfId="0" applyNumberFormat="1" applyBorder="1"/>
    <xf numFmtId="41" fontId="0" fillId="0" borderId="16" xfId="0" applyNumberFormat="1" applyBorder="1"/>
    <xf numFmtId="41" fontId="8" fillId="0" borderId="16" xfId="0" applyNumberFormat="1" applyFont="1" applyBorder="1"/>
    <xf numFmtId="41" fontId="8" fillId="0" borderId="9" xfId="0" applyNumberFormat="1" applyFont="1" applyBorder="1"/>
    <xf numFmtId="43" fontId="0" fillId="3" borderId="5" xfId="0" applyNumberFormat="1" applyFill="1" applyBorder="1"/>
    <xf numFmtId="0" fontId="0" fillId="3" borderId="6" xfId="0" applyNumberFormat="1" applyFill="1" applyBorder="1"/>
    <xf numFmtId="43" fontId="0" fillId="3" borderId="6" xfId="0" applyNumberFormat="1" applyFill="1" applyBorder="1"/>
    <xf numFmtId="43" fontId="0" fillId="3" borderId="7" xfId="0" applyNumberFormat="1" applyFill="1" applyBorder="1"/>
    <xf numFmtId="43" fontId="0" fillId="3" borderId="8" xfId="0" applyNumberFormat="1" applyFill="1" applyBorder="1"/>
    <xf numFmtId="0" fontId="0" fillId="3" borderId="0" xfId="0" quotePrefix="1" applyNumberFormat="1" applyFill="1" applyBorder="1"/>
    <xf numFmtId="43" fontId="0" fillId="3" borderId="0" xfId="0" applyNumberFormat="1" applyFill="1" applyBorder="1"/>
    <xf numFmtId="43" fontId="0" fillId="3" borderId="9" xfId="0" applyNumberFormat="1" applyFill="1" applyBorder="1"/>
    <xf numFmtId="0" fontId="0" fillId="3" borderId="0" xfId="0" applyNumberFormat="1" applyFill="1" applyBorder="1"/>
    <xf numFmtId="43" fontId="0" fillId="3" borderId="10" xfId="0" applyNumberFormat="1" applyFill="1" applyBorder="1"/>
    <xf numFmtId="43" fontId="0" fillId="3" borderId="11" xfId="0" applyNumberFormat="1" applyFill="1" applyBorder="1"/>
    <xf numFmtId="43" fontId="0" fillId="3" borderId="1" xfId="0" applyNumberFormat="1" applyFill="1" applyBorder="1"/>
    <xf numFmtId="0" fontId="0" fillId="3" borderId="1" xfId="0" applyNumberFormat="1" applyFill="1" applyBorder="1"/>
    <xf numFmtId="0" fontId="0" fillId="0" borderId="0" xfId="0" applyAlignment="1">
      <alignment horizontal="left"/>
    </xf>
    <xf numFmtId="0" fontId="0" fillId="0" borderId="0" xfId="0"/>
    <xf numFmtId="0" fontId="0" fillId="0" borderId="0" xfId="0" applyAlignment="1">
      <alignment horizontal="left" vertical="center" indent="9"/>
    </xf>
    <xf numFmtId="0" fontId="0" fillId="0" borderId="0" xfId="0" applyAlignment="1">
      <alignment horizontal="left" vertical="center" indent="4"/>
    </xf>
    <xf numFmtId="0" fontId="0" fillId="0" borderId="0" xfId="0" applyAlignment="1">
      <alignment horizontal="left" vertical="center"/>
    </xf>
    <xf numFmtId="0" fontId="0" fillId="0" borderId="0" xfId="0" applyAlignment="1">
      <alignment horizontal="center"/>
    </xf>
    <xf numFmtId="0" fontId="0" fillId="2" borderId="3" xfId="0" applyFill="1" applyBorder="1" applyAlignment="1">
      <alignment horizontal="center"/>
    </xf>
    <xf numFmtId="0" fontId="3" fillId="0" borderId="26" xfId="0" applyFont="1" applyBorder="1" applyAlignment="1">
      <alignment horizontal="center" vertical="center"/>
    </xf>
    <xf numFmtId="0" fontId="0" fillId="0" borderId="0" xfId="0"/>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18" fillId="0" borderId="0" xfId="0" applyFont="1"/>
    <xf numFmtId="0" fontId="3" fillId="9" borderId="18" xfId="0" applyFont="1" applyFill="1" applyBorder="1" applyAlignment="1">
      <alignment horizontal="center" vertical="center"/>
    </xf>
    <xf numFmtId="0" fontId="3" fillId="9" borderId="20" xfId="0" applyFont="1" applyFill="1" applyBorder="1" applyAlignment="1">
      <alignment horizontal="center" vertical="center"/>
    </xf>
    <xf numFmtId="0" fontId="3" fillId="9" borderId="22" xfId="0" applyFont="1" applyFill="1" applyBorder="1" applyAlignment="1">
      <alignment horizontal="center" vertical="center"/>
    </xf>
    <xf numFmtId="0" fontId="3" fillId="0" borderId="25" xfId="0" applyFont="1" applyBorder="1" applyAlignment="1">
      <alignment horizontal="center" vertical="center"/>
    </xf>
    <xf numFmtId="0" fontId="3" fillId="9" borderId="24" xfId="0" applyFont="1" applyFill="1" applyBorder="1" applyAlignment="1">
      <alignment horizontal="center" vertical="center"/>
    </xf>
    <xf numFmtId="44" fontId="0" fillId="0" borderId="4" xfId="0" applyNumberFormat="1" applyBorder="1"/>
    <xf numFmtId="10" fontId="0" fillId="0" borderId="4" xfId="3" applyNumberFormat="1" applyFont="1" applyBorder="1"/>
    <xf numFmtId="0" fontId="0" fillId="0" borderId="20" xfId="0" applyNumberFormat="1" applyBorder="1" applyAlignment="1">
      <alignment horizontal="center"/>
    </xf>
    <xf numFmtId="168" fontId="0" fillId="0" borderId="21" xfId="1" applyNumberFormat="1" applyFont="1" applyBorder="1"/>
    <xf numFmtId="0" fontId="0" fillId="0" borderId="22" xfId="0" applyNumberFormat="1" applyBorder="1" applyAlignment="1">
      <alignment horizontal="center"/>
    </xf>
    <xf numFmtId="44" fontId="0" fillId="0" borderId="27" xfId="0" applyNumberFormat="1" applyBorder="1"/>
    <xf numFmtId="0" fontId="0" fillId="0" borderId="24" xfId="0" applyNumberFormat="1" applyBorder="1" applyAlignment="1">
      <alignment horizontal="center"/>
    </xf>
    <xf numFmtId="44" fontId="0" fillId="0" borderId="28" xfId="0" applyNumberFormat="1" applyBorder="1"/>
    <xf numFmtId="44" fontId="0" fillId="10" borderId="28" xfId="0" applyNumberFormat="1" applyFill="1" applyBorder="1"/>
    <xf numFmtId="44" fontId="19" fillId="11" borderId="29" xfId="0" applyNumberFormat="1" applyFont="1" applyFill="1" applyBorder="1" applyAlignment="1">
      <alignment horizontal="center" vertical="center"/>
    </xf>
    <xf numFmtId="44" fontId="19" fillId="11" borderId="30" xfId="0" applyNumberFormat="1" applyFont="1" applyFill="1" applyBorder="1" applyAlignment="1">
      <alignment horizontal="center" vertical="center" wrapText="1"/>
    </xf>
    <xf numFmtId="44" fontId="19" fillId="11" borderId="31" xfId="0" applyNumberFormat="1" applyFont="1" applyFill="1" applyBorder="1" applyAlignment="1">
      <alignment horizontal="center" vertical="center" wrapText="1"/>
    </xf>
    <xf numFmtId="44" fontId="0" fillId="0" borderId="5" xfId="0" applyNumberFormat="1" applyBorder="1"/>
    <xf numFmtId="44" fontId="0" fillId="0" borderId="6" xfId="0" applyNumberFormat="1" applyBorder="1"/>
    <xf numFmtId="44" fontId="0" fillId="0" borderId="7" xfId="0" applyNumberFormat="1" applyBorder="1"/>
    <xf numFmtId="44" fontId="0" fillId="0" borderId="0" xfId="0" applyNumberFormat="1" applyBorder="1"/>
    <xf numFmtId="44" fontId="0" fillId="0" borderId="9" xfId="0" applyNumberFormat="1" applyBorder="1"/>
    <xf numFmtId="44" fontId="0" fillId="0" borderId="8" xfId="0" applyNumberFormat="1" applyBorder="1"/>
    <xf numFmtId="44" fontId="0" fillId="0" borderId="10" xfId="0" applyNumberFormat="1" applyBorder="1"/>
    <xf numFmtId="44" fontId="0" fillId="0" borderId="1" xfId="0" applyNumberFormat="1" applyBorder="1"/>
    <xf numFmtId="44" fontId="0" fillId="0" borderId="11" xfId="0" applyNumberFormat="1" applyBorder="1"/>
    <xf numFmtId="44" fontId="3" fillId="0" borderId="8" xfId="0" applyNumberFormat="1" applyFont="1" applyBorder="1" applyAlignment="1">
      <alignment horizontal="left" indent="1"/>
    </xf>
    <xf numFmtId="170" fontId="0" fillId="2" borderId="3" xfId="3" applyNumberFormat="1" applyFont="1" applyFill="1" applyBorder="1" applyAlignment="1">
      <alignment horizontal="center"/>
    </xf>
    <xf numFmtId="44" fontId="0" fillId="0" borderId="0" xfId="0" applyNumberFormat="1" applyBorder="1" applyAlignment="1">
      <alignment horizontal="center"/>
    </xf>
    <xf numFmtId="166" fontId="0" fillId="0" borderId="0" xfId="0" applyNumberFormat="1"/>
    <xf numFmtId="166" fontId="20" fillId="0" borderId="0" xfId="0" applyNumberFormat="1" applyFont="1" applyAlignment="1">
      <alignment vertical="center"/>
    </xf>
    <xf numFmtId="166" fontId="20" fillId="12" borderId="12" xfId="0" applyNumberFormat="1" applyFont="1" applyFill="1" applyBorder="1"/>
    <xf numFmtId="166" fontId="0" fillId="0" borderId="5" xfId="0" applyNumberFormat="1" applyBorder="1" applyAlignment="1">
      <alignment horizontal="left" indent="2"/>
    </xf>
    <xf numFmtId="166" fontId="0" fillId="0" borderId="7" xfId="0" applyNumberFormat="1" applyBorder="1"/>
    <xf numFmtId="166" fontId="8" fillId="0" borderId="8" xfId="0" applyNumberFormat="1" applyFont="1" applyBorder="1" applyAlignment="1">
      <alignment horizontal="left" indent="2"/>
    </xf>
    <xf numFmtId="166" fontId="3" fillId="0" borderId="8" xfId="0" applyNumberFormat="1" applyFont="1" applyBorder="1" applyAlignment="1">
      <alignment horizontal="left" indent="1"/>
    </xf>
    <xf numFmtId="166" fontId="3" fillId="0" borderId="9" xfId="0" applyNumberFormat="1" applyFont="1" applyBorder="1"/>
    <xf numFmtId="166" fontId="0" fillId="0" borderId="8" xfId="0" applyNumberFormat="1" applyBorder="1" applyAlignment="1">
      <alignment horizontal="left" indent="2"/>
    </xf>
    <xf numFmtId="166" fontId="9" fillId="0" borderId="8" xfId="0" applyNumberFormat="1" applyFont="1" applyBorder="1" applyAlignment="1">
      <alignment horizontal="left" indent="1"/>
    </xf>
    <xf numFmtId="166" fontId="17" fillId="0" borderId="9" xfId="0" applyNumberFormat="1" applyFont="1" applyBorder="1"/>
    <xf numFmtId="166" fontId="0" fillId="0" borderId="8" xfId="0" applyNumberFormat="1" applyBorder="1"/>
    <xf numFmtId="166" fontId="0" fillId="0" borderId="9" xfId="0" applyNumberFormat="1" applyBorder="1"/>
    <xf numFmtId="166" fontId="0" fillId="0" borderId="17" xfId="0" applyNumberFormat="1" applyBorder="1"/>
    <xf numFmtId="166" fontId="3" fillId="0" borderId="16" xfId="0" applyNumberFormat="1" applyFont="1" applyBorder="1"/>
    <xf numFmtId="166" fontId="17" fillId="0" borderId="16" xfId="0" applyNumberFormat="1" applyFont="1" applyBorder="1"/>
    <xf numFmtId="166" fontId="0" fillId="0" borderId="16" xfId="0" applyNumberFormat="1" applyBorder="1"/>
    <xf numFmtId="169" fontId="3" fillId="12" borderId="3" xfId="3" applyNumberFormat="1" applyFont="1" applyFill="1" applyBorder="1" applyAlignment="1">
      <alignment horizontal="center" vertical="center"/>
    </xf>
    <xf numFmtId="169" fontId="3" fillId="12" borderId="13" xfId="3" applyNumberFormat="1" applyFont="1" applyFill="1" applyBorder="1" applyAlignment="1">
      <alignment horizontal="center" vertical="center"/>
    </xf>
    <xf numFmtId="166" fontId="3" fillId="12" borderId="12" xfId="0" applyNumberFormat="1" applyFont="1" applyFill="1" applyBorder="1" applyAlignment="1">
      <alignment horizontal="right" vertical="center"/>
    </xf>
    <xf numFmtId="0" fontId="0" fillId="2" borderId="3" xfId="0" applyFill="1" applyBorder="1"/>
    <xf numFmtId="0" fontId="0" fillId="0" borderId="1" xfId="0" applyBorder="1" applyAlignment="1">
      <alignment horizontal="center"/>
    </xf>
    <xf numFmtId="0" fontId="0" fillId="0" borderId="1" xfId="0" applyBorder="1" applyAlignment="1">
      <alignment horizontal="left"/>
    </xf>
    <xf numFmtId="0" fontId="0" fillId="0" borderId="2" xfId="0" applyBorder="1"/>
    <xf numFmtId="0" fontId="3" fillId="0" borderId="2" xfId="0" applyFont="1" applyBorder="1" applyAlignment="1">
      <alignment horizontal="center" textRotation="90" wrapText="1"/>
    </xf>
    <xf numFmtId="0" fontId="0" fillId="0" borderId="1" xfId="0" applyBorder="1" applyAlignment="1">
      <alignment horizontal="left" vertical="center" indent="9"/>
    </xf>
    <xf numFmtId="0" fontId="4" fillId="12" borderId="3" xfId="0" applyNumberFormat="1" applyFont="1" applyFill="1" applyBorder="1" applyAlignment="1">
      <alignment horizontal="center" vertical="center" wrapText="1"/>
    </xf>
    <xf numFmtId="0" fontId="4" fillId="12" borderId="13" xfId="0" applyNumberFormat="1" applyFont="1" applyFill="1" applyBorder="1" applyAlignment="1">
      <alignment horizontal="center" vertical="center" wrapText="1"/>
    </xf>
    <xf numFmtId="165" fontId="6" fillId="0" borderId="0" xfId="1" applyNumberFormat="1" applyFont="1"/>
    <xf numFmtId="166" fontId="6" fillId="0" borderId="0" xfId="2" applyNumberFormat="1" applyFont="1"/>
    <xf numFmtId="44" fontId="6" fillId="0" borderId="0" xfId="2" applyNumberFormat="1" applyFont="1"/>
    <xf numFmtId="166" fontId="6" fillId="0" borderId="1" xfId="2" applyNumberFormat="1" applyFont="1" applyBorder="1"/>
    <xf numFmtId="0" fontId="4" fillId="2" borderId="1" xfId="0" quotePrefix="1" applyFont="1" applyFill="1" applyBorder="1" applyAlignment="1">
      <alignment horizontal="center"/>
    </xf>
    <xf numFmtId="0" fontId="4" fillId="2" borderId="1" xfId="0" applyFont="1" applyFill="1" applyBorder="1" applyAlignment="1">
      <alignment horizontal="center"/>
    </xf>
    <xf numFmtId="43" fontId="4" fillId="2" borderId="0" xfId="0" applyNumberFormat="1" applyFont="1" applyFill="1" applyAlignment="1">
      <alignment horizontal="center"/>
    </xf>
    <xf numFmtId="43" fontId="4" fillId="2" borderId="1" xfId="0" quotePrefix="1" applyNumberFormat="1" applyFont="1" applyFill="1" applyBorder="1" applyAlignment="1">
      <alignment horizontal="center"/>
    </xf>
    <xf numFmtId="43" fontId="7" fillId="0" borderId="0" xfId="0" quotePrefix="1" applyNumberFormat="1" applyFont="1" applyAlignment="1">
      <alignment horizontal="center"/>
    </xf>
    <xf numFmtId="43" fontId="4" fillId="2" borderId="2" xfId="0" applyNumberFormat="1" applyFont="1" applyFill="1" applyBorder="1" applyAlignment="1">
      <alignment horizontal="center"/>
    </xf>
    <xf numFmtId="0" fontId="4" fillId="2" borderId="0" xfId="0" applyFont="1" applyFill="1" applyAlignment="1">
      <alignment horizontal="center"/>
    </xf>
    <xf numFmtId="41" fontId="10" fillId="4" borderId="12" xfId="0" applyNumberFormat="1" applyFont="1" applyFill="1" applyBorder="1" applyAlignment="1">
      <alignment horizontal="center" vertical="center"/>
    </xf>
    <xf numFmtId="41" fontId="0" fillId="4" borderId="2" xfId="0" applyNumberFormat="1" applyFill="1" applyBorder="1" applyAlignment="1">
      <alignment horizontal="center" vertical="center"/>
    </xf>
    <xf numFmtId="41" fontId="0" fillId="4" borderId="13" xfId="0" applyNumberFormat="1" applyFill="1" applyBorder="1" applyAlignment="1">
      <alignment horizontal="center" vertical="center"/>
    </xf>
    <xf numFmtId="41" fontId="4" fillId="4" borderId="2" xfId="0" applyNumberFormat="1" applyFont="1" applyFill="1" applyBorder="1" applyAlignment="1">
      <alignment horizontal="center" vertical="center"/>
    </xf>
    <xf numFmtId="44" fontId="0" fillId="0" borderId="0" xfId="0" applyNumberFormat="1" applyBorder="1" applyAlignment="1">
      <alignment horizontal="right"/>
    </xf>
    <xf numFmtId="166" fontId="21" fillId="8" borderId="5" xfId="0" applyNumberFormat="1" applyFont="1" applyFill="1" applyBorder="1" applyAlignment="1">
      <alignment horizontal="center" vertical="center"/>
    </xf>
    <xf numFmtId="166" fontId="21" fillId="8" borderId="6" xfId="0" applyNumberFormat="1" applyFont="1" applyFill="1" applyBorder="1" applyAlignment="1">
      <alignment horizontal="center" vertical="center"/>
    </xf>
    <xf numFmtId="166" fontId="21" fillId="8" borderId="7" xfId="0" applyNumberFormat="1" applyFont="1" applyFill="1" applyBorder="1" applyAlignment="1">
      <alignment horizontal="center" vertical="center"/>
    </xf>
    <xf numFmtId="166" fontId="21" fillId="8" borderId="8" xfId="0" applyNumberFormat="1" applyFont="1" applyFill="1" applyBorder="1" applyAlignment="1">
      <alignment horizontal="center" vertical="center"/>
    </xf>
    <xf numFmtId="166" fontId="21" fillId="8" borderId="0" xfId="0" applyNumberFormat="1" applyFont="1" applyFill="1" applyBorder="1" applyAlignment="1">
      <alignment horizontal="center" vertical="center"/>
    </xf>
    <xf numFmtId="166" fontId="21" fillId="8" borderId="9" xfId="0" applyNumberFormat="1" applyFont="1" applyFill="1" applyBorder="1" applyAlignment="1">
      <alignment horizontal="center" vertical="center"/>
    </xf>
    <xf numFmtId="166" fontId="21" fillId="8" borderId="10" xfId="0" applyNumberFormat="1" applyFont="1" applyFill="1" applyBorder="1" applyAlignment="1">
      <alignment horizontal="center" vertical="center"/>
    </xf>
    <xf numFmtId="166" fontId="21" fillId="8" borderId="1" xfId="0" applyNumberFormat="1" applyFont="1" applyFill="1" applyBorder="1" applyAlignment="1">
      <alignment horizontal="center" vertical="center"/>
    </xf>
    <xf numFmtId="166" fontId="21" fillId="8" borderId="11" xfId="0" applyNumberFormat="1" applyFont="1" applyFill="1" applyBorder="1" applyAlignment="1">
      <alignment horizontal="center" vertical="center"/>
    </xf>
    <xf numFmtId="0" fontId="4" fillId="0" borderId="2" xfId="0" applyFont="1" applyBorder="1" applyAlignment="1">
      <alignment horizontal="center" vertical="center" wrapText="1"/>
    </xf>
    <xf numFmtId="164" fontId="6" fillId="0" borderId="0" xfId="3" applyNumberFormat="1" applyFont="1"/>
    <xf numFmtId="43" fontId="0" fillId="3" borderId="0" xfId="0" applyNumberFormat="1" applyFill="1" applyBorder="1"/>
    <xf numFmtId="43" fontId="7" fillId="0" borderId="0" xfId="0" quotePrefix="1" applyNumberFormat="1" applyFont="1" applyAlignment="1">
      <alignment horizontal="center"/>
    </xf>
    <xf numFmtId="0" fontId="0" fillId="0" borderId="0" xfId="0"/>
    <xf numFmtId="44" fontId="0" fillId="0" borderId="0" xfId="0" applyNumberFormat="1"/>
    <xf numFmtId="43" fontId="0" fillId="2" borderId="4" xfId="0" applyNumberFormat="1" applyFill="1" applyBorder="1"/>
    <xf numFmtId="166" fontId="1" fillId="0" borderId="0" xfId="2" applyNumberFormat="1" applyFont="1"/>
    <xf numFmtId="0" fontId="0" fillId="0" borderId="0" xfId="0" applyAlignment="1">
      <alignment horizontal="left" vertical="center" indent="9"/>
    </xf>
    <xf numFmtId="0" fontId="0" fillId="0" borderId="0" xfId="0" applyAlignment="1">
      <alignment horizontal="left" vertical="center" indent="4"/>
    </xf>
    <xf numFmtId="0" fontId="0" fillId="2" borderId="3" xfId="0" applyFill="1" applyBorder="1" applyAlignment="1">
      <alignment horizontal="center"/>
    </xf>
    <xf numFmtId="0" fontId="0" fillId="0" borderId="0" xfId="0" applyAlignment="1">
      <alignment horizontal="left"/>
    </xf>
    <xf numFmtId="43" fontId="7" fillId="0" borderId="0" xfId="0" quotePrefix="1" applyNumberFormat="1" applyFont="1" applyAlignment="1">
      <alignment horizontal="center"/>
    </xf>
    <xf numFmtId="0" fontId="22" fillId="5" borderId="14" xfId="0" applyFont="1" applyFill="1" applyBorder="1" applyAlignment="1">
      <alignment horizontal="left"/>
    </xf>
    <xf numFmtId="0" fontId="22" fillId="5" borderId="6" xfId="0" applyFont="1" applyFill="1" applyBorder="1" applyAlignment="1">
      <alignment horizontal="left"/>
    </xf>
    <xf numFmtId="0" fontId="23" fillId="6" borderId="0" xfId="0" applyFont="1" applyFill="1" applyBorder="1" applyAlignment="1">
      <alignment horizontal="left"/>
    </xf>
    <xf numFmtId="0" fontId="24" fillId="6" borderId="15" xfId="0" applyFont="1" applyFill="1" applyBorder="1" applyAlignment="1">
      <alignment horizontal="left"/>
    </xf>
    <xf numFmtId="0" fontId="23" fillId="6" borderId="1" xfId="0" applyFont="1" applyFill="1" applyBorder="1" applyAlignment="1">
      <alignment horizontal="left"/>
    </xf>
    <xf numFmtId="0" fontId="0" fillId="0" borderId="32" xfId="0" applyNumberFormat="1" applyBorder="1" applyAlignment="1">
      <alignment horizontal="center"/>
    </xf>
    <xf numFmtId="44" fontId="0" fillId="0" borderId="33" xfId="0" applyNumberFormat="1" applyBorder="1"/>
    <xf numFmtId="0" fontId="0" fillId="0" borderId="0" xfId="0" applyFont="1" applyAlignment="1">
      <alignment horizontal="left" vertical="center" indent="4"/>
    </xf>
  </cellXfs>
  <cellStyles count="6">
    <cellStyle name="Comma" xfId="1" builtinId="3"/>
    <cellStyle name="Comma 3" xfId="5"/>
    <cellStyle name="Currency" xfId="2" builtinId="4"/>
    <cellStyle name="Normal" xfId="0" builtinId="0"/>
    <cellStyle name="Normal 3" xfId="4"/>
    <cellStyle name="Percent" xfId="3" builtinId="5"/>
  </cellStyles>
  <dxfs count="1">
    <dxf>
      <font>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Marketable</a:t>
            </a:r>
            <a:r>
              <a:rPr lang="en-US" baseline="0"/>
              <a:t> Securities</a:t>
            </a:r>
            <a:br>
              <a:rPr lang="en-US" baseline="0"/>
            </a:br>
            <a:r>
              <a:rPr lang="en-US" baseline="0"/>
              <a:t>and Short Term Loan Balances</a:t>
            </a:r>
          </a:p>
          <a:p>
            <a:pPr>
              <a:defRPr/>
            </a:pPr>
            <a:r>
              <a:rPr lang="en-US" sz="1800" b="0" i="0" u="none" strike="noStrike" baseline="0">
                <a:effectLst/>
              </a:rPr>
              <a:t>               </a:t>
            </a:r>
            <a:endParaRPr lang="en-US"/>
          </a:p>
        </c:rich>
      </c:tx>
      <c:layout/>
      <c:overlay val="0"/>
    </c:title>
    <c:autoTitleDeleted val="0"/>
    <c:plotArea>
      <c:layout>
        <c:manualLayout>
          <c:layoutTarget val="inner"/>
          <c:xMode val="edge"/>
          <c:yMode val="edge"/>
          <c:x val="0.10050572326059824"/>
          <c:y val="0.18317318558609186"/>
          <c:w val="0.87816611386979437"/>
          <c:h val="0.70764005546630182"/>
        </c:manualLayout>
      </c:layout>
      <c:barChart>
        <c:barDir val="col"/>
        <c:grouping val="clustered"/>
        <c:varyColors val="0"/>
        <c:ser>
          <c:idx val="0"/>
          <c:order val="0"/>
          <c:tx>
            <c:strRef>
              <c:f>'Prob 3 - 10 Pts'!$J$6</c:f>
              <c:strCache>
                <c:ptCount val="1"/>
                <c:pt idx="0">
                  <c:v>Short-Term Loans</c:v>
                </c:pt>
              </c:strCache>
            </c:strRef>
          </c:tx>
          <c:invertIfNegative val="0"/>
          <c:cat>
            <c:strRef>
              <c:f>'Prob 3 - 10 Pts'!$K$5:$S$5</c:f>
              <c:strCache>
                <c:ptCount val="9"/>
                <c:pt idx="0">
                  <c:v>APR</c:v>
                </c:pt>
                <c:pt idx="1">
                  <c:v>MAY</c:v>
                </c:pt>
                <c:pt idx="2">
                  <c:v>JUN</c:v>
                </c:pt>
                <c:pt idx="3">
                  <c:v>JUL</c:v>
                </c:pt>
                <c:pt idx="4">
                  <c:v>AUG</c:v>
                </c:pt>
                <c:pt idx="5">
                  <c:v>SEP</c:v>
                </c:pt>
                <c:pt idx="6">
                  <c:v>OCT</c:v>
                </c:pt>
                <c:pt idx="7">
                  <c:v>NOV</c:v>
                </c:pt>
                <c:pt idx="8">
                  <c:v>DEC</c:v>
                </c:pt>
              </c:strCache>
            </c:strRef>
          </c:cat>
          <c:val>
            <c:numRef>
              <c:f>'Prob 3 - 10 Pts'!$K$6:$S$6</c:f>
              <c:numCache>
                <c:formatCode>_(* #,##0_);_(* \(#,##0\);_(* "-"_);_(@_)</c:formatCode>
                <c:ptCount val="9"/>
                <c:pt idx="0">
                  <c:v>-1113.75</c:v>
                </c:pt>
                <c:pt idx="1">
                  <c:v>0</c:v>
                </c:pt>
                <c:pt idx="2">
                  <c:v>0</c:v>
                </c:pt>
                <c:pt idx="3">
                  <c:v>-103140.25</c:v>
                </c:pt>
                <c:pt idx="4">
                  <c:v>-92693.1</c:v>
                </c:pt>
                <c:pt idx="5">
                  <c:v>-80929.600000000006</c:v>
                </c:pt>
                <c:pt idx="6">
                  <c:v>-70979.5</c:v>
                </c:pt>
                <c:pt idx="7">
                  <c:v>-59216</c:v>
                </c:pt>
                <c:pt idx="8">
                  <c:v>-47404.1</c:v>
                </c:pt>
              </c:numCache>
            </c:numRef>
          </c:val>
        </c:ser>
        <c:ser>
          <c:idx val="1"/>
          <c:order val="1"/>
          <c:tx>
            <c:strRef>
              <c:f>'Prob 3 - 10 Pts'!$J$7</c:f>
              <c:strCache>
                <c:ptCount val="1"/>
                <c:pt idx="0">
                  <c:v>Mkt'l Securities</c:v>
                </c:pt>
              </c:strCache>
            </c:strRef>
          </c:tx>
          <c:invertIfNegative val="0"/>
          <c:cat>
            <c:strRef>
              <c:f>'Prob 3 - 10 Pts'!$K$5:$S$5</c:f>
              <c:strCache>
                <c:ptCount val="9"/>
                <c:pt idx="0">
                  <c:v>APR</c:v>
                </c:pt>
                <c:pt idx="1">
                  <c:v>MAY</c:v>
                </c:pt>
                <c:pt idx="2">
                  <c:v>JUN</c:v>
                </c:pt>
                <c:pt idx="3">
                  <c:v>JUL</c:v>
                </c:pt>
                <c:pt idx="4">
                  <c:v>AUG</c:v>
                </c:pt>
                <c:pt idx="5">
                  <c:v>SEP</c:v>
                </c:pt>
                <c:pt idx="6">
                  <c:v>OCT</c:v>
                </c:pt>
                <c:pt idx="7">
                  <c:v>NOV</c:v>
                </c:pt>
                <c:pt idx="8">
                  <c:v>DEC</c:v>
                </c:pt>
              </c:strCache>
            </c:strRef>
          </c:cat>
          <c:val>
            <c:numRef>
              <c:f>'Prob 3 - 10 Pts'!$K$7:$S$7</c:f>
              <c:numCache>
                <c:formatCode>_(* #,##0_);_(* \(#,##0\);_(* "-"_);_(@_)</c:formatCode>
                <c:ptCount val="9"/>
                <c:pt idx="0">
                  <c:v>0</c:v>
                </c:pt>
                <c:pt idx="1">
                  <c:v>7255.1999999999971</c:v>
                </c:pt>
                <c:pt idx="2">
                  <c:v>15388.75</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150"/>
        <c:axId val="1317622512"/>
        <c:axId val="1317610000"/>
      </c:barChart>
      <c:catAx>
        <c:axId val="1317622512"/>
        <c:scaling>
          <c:orientation val="minMax"/>
        </c:scaling>
        <c:delete val="0"/>
        <c:axPos val="b"/>
        <c:numFmt formatCode="General" sourceLinked="0"/>
        <c:majorTickMark val="none"/>
        <c:minorTickMark val="none"/>
        <c:tickLblPos val="nextTo"/>
        <c:txPr>
          <a:bodyPr/>
          <a:lstStyle/>
          <a:p>
            <a:pPr>
              <a:defRPr b="1"/>
            </a:pPr>
            <a:endParaRPr lang="en-US"/>
          </a:p>
        </c:txPr>
        <c:crossAx val="1317610000"/>
        <c:crosses val="autoZero"/>
        <c:auto val="1"/>
        <c:lblAlgn val="ctr"/>
        <c:lblOffset val="100"/>
        <c:noMultiLvlLbl val="0"/>
      </c:catAx>
      <c:valAx>
        <c:axId val="1317610000"/>
        <c:scaling>
          <c:orientation val="minMax"/>
          <c:max val="60000"/>
          <c:min val="-120000"/>
        </c:scaling>
        <c:delete val="0"/>
        <c:axPos val="l"/>
        <c:majorGridlines/>
        <c:numFmt formatCode="&quot;$&quot;#,##0" sourceLinked="0"/>
        <c:majorTickMark val="none"/>
        <c:minorTickMark val="none"/>
        <c:tickLblPos val="nextTo"/>
        <c:txPr>
          <a:bodyPr/>
          <a:lstStyle/>
          <a:p>
            <a:pPr>
              <a:defRPr b="1"/>
            </a:pPr>
            <a:endParaRPr lang="en-US"/>
          </a:p>
        </c:txPr>
        <c:crossAx val="1317622512"/>
        <c:crosses val="autoZero"/>
        <c:crossBetween val="between"/>
        <c:majorUnit val="20000"/>
        <c:minorUnit val="10000"/>
      </c:valAx>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200025</xdr:colOff>
      <xdr:row>1</xdr:row>
      <xdr:rowOff>238126</xdr:rowOff>
    </xdr:from>
    <xdr:to>
      <xdr:col>6</xdr:col>
      <xdr:colOff>581025</xdr:colOff>
      <xdr:row>13</xdr:row>
      <xdr:rowOff>0</xdr:rowOff>
    </xdr:to>
    <xdr:sp macro="" textlink="">
      <xdr:nvSpPr>
        <xdr:cNvPr id="2" name="Rounded Rectangle 1"/>
        <xdr:cNvSpPr/>
      </xdr:nvSpPr>
      <xdr:spPr>
        <a:xfrm>
          <a:off x="4143375" y="438151"/>
          <a:ext cx="2171700" cy="17811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409575</xdr:colOff>
      <xdr:row>3</xdr:row>
      <xdr:rowOff>95251</xdr:rowOff>
    </xdr:from>
    <xdr:to>
      <xdr:col>6</xdr:col>
      <xdr:colOff>361950</xdr:colOff>
      <xdr:row>12</xdr:row>
      <xdr:rowOff>19051</xdr:rowOff>
    </xdr:to>
    <xdr:sp macro="" textlink="">
      <xdr:nvSpPr>
        <xdr:cNvPr id="3" name="TextBox 2"/>
        <xdr:cNvSpPr txBox="1"/>
      </xdr:nvSpPr>
      <xdr:spPr>
        <a:xfrm>
          <a:off x="4352925" y="781051"/>
          <a:ext cx="1743075"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Note that</a:t>
          </a:r>
          <a:r>
            <a:rPr lang="en-US" sz="1400" baseline="0"/>
            <a:t> the inputs are in dollars but the statements below are in thousands of dollars.</a:t>
          </a:r>
          <a:endParaRPr lang="en-US" sz="1400"/>
        </a:p>
      </xdr:txBody>
    </xdr:sp>
    <xdr:clientData/>
  </xdr:twoCellAnchor>
  <xdr:twoCellAnchor>
    <xdr:from>
      <xdr:col>6</xdr:col>
      <xdr:colOff>365261</xdr:colOff>
      <xdr:row>73</xdr:row>
      <xdr:rowOff>97321</xdr:rowOff>
    </xdr:from>
    <xdr:to>
      <xdr:col>10</xdr:col>
      <xdr:colOff>912742</xdr:colOff>
      <xdr:row>88</xdr:row>
      <xdr:rowOff>136662</xdr:rowOff>
    </xdr:to>
    <xdr:sp macro="" textlink="">
      <xdr:nvSpPr>
        <xdr:cNvPr id="4" name="Rounded Rectangle 3"/>
        <xdr:cNvSpPr/>
      </xdr:nvSpPr>
      <xdr:spPr>
        <a:xfrm>
          <a:off x="6308861" y="14861071"/>
          <a:ext cx="2109581" cy="295399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en-US" sz="1600" b="1"/>
            <a:t>Create formulas only</a:t>
          </a:r>
          <a:r>
            <a:rPr lang="en-US" sz="1600" b="1" baseline="0"/>
            <a:t> in the YELLOW cells.  The resulting values need to have the proper sign for any input values. </a:t>
          </a:r>
          <a:r>
            <a:rPr lang="en-US" sz="1100" b="0" i="0" u="none" strike="noStrike">
              <a:solidFill>
                <a:schemeClr val="dk1"/>
              </a:solidFill>
              <a:latin typeface="+mn-lt"/>
              <a:ea typeface="+mn-ea"/>
              <a:cs typeface="+mn-cs"/>
            </a:rPr>
            <a:t> </a:t>
          </a:r>
          <a:r>
            <a:rPr lang="en-US" sz="1600"/>
            <a:t> </a:t>
          </a:r>
        </a:p>
        <a:p>
          <a:pPr algn="ctr"/>
          <a:endParaRPr lang="en-US" sz="1600" b="1"/>
        </a:p>
        <a:p>
          <a:pPr algn="ctr"/>
          <a:r>
            <a:rPr lang="en-US" sz="2000" b="1"/>
            <a:t>- = USE</a:t>
          </a:r>
        </a:p>
        <a:p>
          <a:pPr algn="ctr"/>
          <a:endParaRPr lang="en-US" sz="2000" b="1"/>
        </a:p>
        <a:p>
          <a:pPr algn="ctr"/>
          <a:r>
            <a:rPr lang="en-US" sz="2000" b="1"/>
            <a:t>+</a:t>
          </a:r>
          <a:r>
            <a:rPr lang="en-US" sz="2000" b="1" baseline="0"/>
            <a:t> = SOURCE</a:t>
          </a:r>
          <a:endParaRPr lang="en-US" sz="1600" b="1"/>
        </a:p>
      </xdr:txBody>
    </xdr:sp>
    <xdr:clientData/>
  </xdr:twoCellAnchor>
  <xdr:twoCellAnchor>
    <xdr:from>
      <xdr:col>4</xdr:col>
      <xdr:colOff>352426</xdr:colOff>
      <xdr:row>13</xdr:row>
      <xdr:rowOff>0</xdr:rowOff>
    </xdr:from>
    <xdr:to>
      <xdr:col>6</xdr:col>
      <xdr:colOff>542925</xdr:colOff>
      <xdr:row>16</xdr:row>
      <xdr:rowOff>38100</xdr:rowOff>
    </xdr:to>
    <xdr:sp macro="" textlink="">
      <xdr:nvSpPr>
        <xdr:cNvPr id="6" name="Right Arrow 5"/>
        <xdr:cNvSpPr/>
      </xdr:nvSpPr>
      <xdr:spPr>
        <a:xfrm>
          <a:off x="4295776" y="2390775"/>
          <a:ext cx="1981199" cy="666750"/>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800" b="1" cap="none" spc="0">
              <a:ln w="12700">
                <a:solidFill>
                  <a:schemeClr val="tx2">
                    <a:satMod val="155000"/>
                  </a:schemeClr>
                </a:solidFill>
                <a:prstDash val="solid"/>
              </a:ln>
              <a:solidFill>
                <a:schemeClr val="bg2">
                  <a:tint val="85000"/>
                  <a:satMod val="155000"/>
                </a:schemeClr>
              </a:solidFill>
              <a:effectLst/>
            </a:rPr>
            <a:t>Instructions</a:t>
          </a:r>
          <a:endParaRPr lang="en-US" sz="1100">
            <a:effectLst/>
          </a:endParaRPr>
        </a:p>
      </xdr:txBody>
    </xdr:sp>
    <xdr:clientData/>
  </xdr:twoCellAnchor>
  <xdr:twoCellAnchor>
    <xdr:from>
      <xdr:col>9</xdr:col>
      <xdr:colOff>161738</xdr:colOff>
      <xdr:row>41</xdr:row>
      <xdr:rowOff>176305</xdr:rowOff>
    </xdr:from>
    <xdr:to>
      <xdr:col>10</xdr:col>
      <xdr:colOff>4495613</xdr:colOff>
      <xdr:row>52</xdr:row>
      <xdr:rowOff>123825</xdr:rowOff>
    </xdr:to>
    <xdr:sp macro="" textlink="">
      <xdr:nvSpPr>
        <xdr:cNvPr id="8" name="Rounded Rectangle 7"/>
        <xdr:cNvSpPr/>
      </xdr:nvSpPr>
      <xdr:spPr>
        <a:xfrm>
          <a:off x="7219763" y="8301130"/>
          <a:ext cx="4572000" cy="2176370"/>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prstClr val="white"/>
                </a:solidFill>
                <a:prstDash val="solid"/>
              </a:ln>
              <a:noFill/>
              <a:effectLst>
                <a:outerShdw blurRad="63500" dir="3600000" algn="tl" rotWithShape="0">
                  <a:srgbClr val="000000">
                    <a:alpha val="70000"/>
                  </a:srgbClr>
                </a:outerShdw>
              </a:effectLst>
              <a:uLnTx/>
              <a:uFillTx/>
              <a:latin typeface="+mn-lt"/>
              <a:ea typeface="+mn-ea"/>
              <a:cs typeface="+mn-cs"/>
            </a:rPr>
            <a:t>Create a formula in Cell D44 (Cash for 2014) that will adjust in value so as to make the balance sheet balance regardless of how the inputs are set.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1</xdr:row>
      <xdr:rowOff>12700</xdr:rowOff>
    </xdr:from>
    <xdr:to>
      <xdr:col>13</xdr:col>
      <xdr:colOff>438150</xdr:colOff>
      <xdr:row>18</xdr:row>
      <xdr:rowOff>38100</xdr:rowOff>
    </xdr:to>
    <xdr:sp macro="" textlink="">
      <xdr:nvSpPr>
        <xdr:cNvPr id="2" name="TextBox 1"/>
        <xdr:cNvSpPr txBox="1"/>
      </xdr:nvSpPr>
      <xdr:spPr>
        <a:xfrm>
          <a:off x="457200" y="196850"/>
          <a:ext cx="9626600" cy="3155950"/>
        </a:xfrm>
        <a:prstGeom prst="rect">
          <a:avLst/>
        </a:prstGeom>
        <a:solidFill>
          <a:schemeClr val="bg1"/>
        </a:solidFill>
        <a:ln w="28575" cmpd="thinThick">
          <a:solidFill>
            <a:schemeClr val="tx2"/>
          </a:solidFill>
        </a:ln>
        <a:effectLst>
          <a:innerShdw blurRad="63500" dist="152400" dir="2700000">
            <a:prstClr val="black">
              <a:alpha val="50000"/>
            </a:prstClr>
          </a:innerShdw>
        </a:effectLst>
        <a:scene3d>
          <a:camera prst="orthographicFront"/>
          <a:lightRig rig="threePt" dir="t"/>
        </a:scene3d>
        <a:sp3d prstMaterial="matte"/>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dk1"/>
              </a:solidFill>
              <a:latin typeface="+mn-lt"/>
              <a:ea typeface="+mn-ea"/>
              <a:cs typeface="+mn-cs"/>
            </a:rPr>
            <a:t>You are given the data for a company for 12 months. The company uses short-term loans and marketable securities investments to bring the cash balance</a:t>
          </a:r>
          <a:r>
            <a:rPr lang="en-US" sz="1200" b="1" baseline="0">
              <a:solidFill>
                <a:schemeClr val="dk1"/>
              </a:solidFill>
              <a:latin typeface="+mn-lt"/>
              <a:ea typeface="+mn-ea"/>
              <a:cs typeface="+mn-cs"/>
            </a:rPr>
            <a:t> to the desired level </a:t>
          </a:r>
          <a:r>
            <a:rPr lang="en-US" sz="1200" b="1">
              <a:solidFill>
                <a:schemeClr val="dk1"/>
              </a:solidFill>
              <a:latin typeface="+mn-lt"/>
              <a:ea typeface="+mn-ea"/>
              <a:cs typeface="+mn-cs"/>
            </a:rPr>
            <a:t>at the end of each month. Short-term loans will be paid down or paid off with any excess balances and marketable securities will be used only when the loan balance is zero. Marketable securities will be sold first to supply any needed cash infusions before loans are used. The company had no marketable securities and no short-term loans at the beginning of</a:t>
          </a:r>
          <a:r>
            <a:rPr lang="en-US" sz="1200" b="1" baseline="0">
              <a:solidFill>
                <a:schemeClr val="dk1"/>
              </a:solidFill>
              <a:latin typeface="+mn-lt"/>
              <a:ea typeface="+mn-ea"/>
              <a:cs typeface="+mn-cs"/>
            </a:rPr>
            <a:t> January. </a:t>
          </a:r>
        </a:p>
        <a:p>
          <a:endParaRPr lang="en-US" sz="1200" b="1" baseline="0">
            <a:solidFill>
              <a:schemeClr val="dk1"/>
            </a:solidFill>
            <a:latin typeface="+mn-lt"/>
            <a:ea typeface="+mn-ea"/>
            <a:cs typeface="+mn-cs"/>
          </a:endParaRPr>
        </a:p>
        <a:p>
          <a:r>
            <a:rPr lang="en-US" sz="1200" b="1" baseline="0">
              <a:solidFill>
                <a:schemeClr val="dk1"/>
              </a:solidFill>
              <a:latin typeface="+mn-lt"/>
              <a:ea typeface="+mn-ea"/>
              <a:cs typeface="+mn-cs"/>
            </a:rPr>
            <a:t>The company expects to make an outlay for new capital equipment in May, June, July, or August. Create a drop-down list in Cell L24 for the user to select the month of the outlay. Use this and other input information to </a:t>
          </a:r>
          <a:r>
            <a:rPr lang="en-US" sz="1200" b="1">
              <a:solidFill>
                <a:schemeClr val="dk1"/>
              </a:solidFill>
              <a:latin typeface="+mn-lt"/>
              <a:ea typeface="+mn-ea"/>
              <a:cs typeface="+mn-cs"/>
            </a:rPr>
            <a:t>complete the Cash Budget.</a:t>
          </a:r>
          <a:r>
            <a:rPr lang="en-US" sz="1200" b="1" baseline="0">
              <a:solidFill>
                <a:schemeClr val="dk1"/>
              </a:solidFill>
              <a:latin typeface="+mn-lt"/>
              <a:ea typeface="+mn-ea"/>
              <a:cs typeface="+mn-cs"/>
            </a:rPr>
            <a:t> Then complete the section that gives </a:t>
          </a:r>
          <a:r>
            <a:rPr lang="en-US" sz="1200" b="1">
              <a:solidFill>
                <a:schemeClr val="dk1"/>
              </a:solidFill>
              <a:latin typeface="+mn-lt"/>
              <a:ea typeface="+mn-ea"/>
              <a:cs typeface="+mn-cs"/>
            </a:rPr>
            <a:t>the balance of short-term loans at the end of each month</a:t>
          </a:r>
          <a:r>
            <a:rPr lang="en-US" sz="1200" b="1" baseline="0">
              <a:solidFill>
                <a:schemeClr val="dk1"/>
              </a:solidFill>
              <a:latin typeface="+mn-lt"/>
              <a:ea typeface="+mn-ea"/>
              <a:cs typeface="+mn-cs"/>
            </a:rPr>
            <a:t> in Row 52 and the </a:t>
          </a:r>
          <a:r>
            <a:rPr lang="en-US" sz="1200" b="1">
              <a:solidFill>
                <a:schemeClr val="dk1"/>
              </a:solidFill>
              <a:latin typeface="+mn-lt"/>
              <a:ea typeface="+mn-ea"/>
              <a:cs typeface="+mn-cs"/>
            </a:rPr>
            <a:t>balance of marketable securities at the end of each month in Row 53. The formulas should show positive balances when marketable securities are being used, and it should show zero when marketable securities are not being used.</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Format the range F43:N43 (net cash</a:t>
          </a:r>
          <a:r>
            <a:rPr lang="en-US" sz="1200" b="1" baseline="0">
              <a:solidFill>
                <a:schemeClr val="dk1"/>
              </a:solidFill>
              <a:latin typeface="+mn-lt"/>
              <a:ea typeface="+mn-ea"/>
              <a:cs typeface="+mn-cs"/>
            </a:rPr>
            <a:t> flow)</a:t>
          </a:r>
          <a:r>
            <a:rPr lang="en-US" sz="1200" b="1">
              <a:solidFill>
                <a:schemeClr val="dk1"/>
              </a:solidFill>
              <a:latin typeface="+mn-lt"/>
              <a:ea typeface="+mn-ea"/>
              <a:cs typeface="+mn-cs"/>
            </a:rPr>
            <a:t> so that all values less than zero display as red numbers instead of black numbers</a:t>
          </a:r>
          <a:r>
            <a:rPr lang="en-US" sz="1200" b="1" baseline="0">
              <a:solidFill>
                <a:schemeClr val="dk1"/>
              </a:solidFill>
              <a:latin typeface="+mn-lt"/>
              <a:ea typeface="+mn-ea"/>
              <a:cs typeface="+mn-cs"/>
            </a:rPr>
            <a:t> for any values of the inputs.</a:t>
          </a:r>
        </a:p>
        <a:p>
          <a:endParaRPr lang="en-US" sz="1200" b="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Name the input cells for collections</a:t>
          </a:r>
          <a:r>
            <a:rPr lang="en-US" sz="1100" b="1" baseline="0">
              <a:solidFill>
                <a:schemeClr val="dk1"/>
              </a:solidFill>
              <a:effectLst/>
              <a:latin typeface="+mn-lt"/>
              <a:ea typeface="+mn-ea"/>
              <a:cs typeface="+mn-cs"/>
            </a:rPr>
            <a:t> Collect0, Collect1, and Collect 2. Then cre</a:t>
          </a:r>
          <a:r>
            <a:rPr lang="en-US" sz="1100" b="1">
              <a:solidFill>
                <a:schemeClr val="dk1"/>
              </a:solidFill>
              <a:effectLst/>
              <a:latin typeface="+mn-lt"/>
              <a:ea typeface="+mn-ea"/>
              <a:cs typeface="+mn-cs"/>
            </a:rPr>
            <a:t>ate</a:t>
          </a:r>
          <a:r>
            <a:rPr lang="en-US" sz="1100" b="1" baseline="0">
              <a:solidFill>
                <a:schemeClr val="dk1"/>
              </a:solidFill>
              <a:effectLst/>
              <a:latin typeface="+mn-lt"/>
              <a:ea typeface="+mn-ea"/>
              <a:cs typeface="+mn-cs"/>
            </a:rPr>
            <a:t> and save three scenarios using the Scenario Manager that show the company's monthly net cash flow for April - December while changing the collection rates. The GOOD scenario will use Collect0 = 50%, Collect1 = 25%, and Collect2 = 25%, the NORMAL scenario will use the base case collection rates given here, and the BAD scenario will use Collect0 = 40%, Collect1 = 10%, and Collect2 = 50% . Save a summary of the scenarios on a separate tabbed page. </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393700</xdr:colOff>
      <xdr:row>0</xdr:row>
      <xdr:rowOff>171450</xdr:rowOff>
    </xdr:from>
    <xdr:to>
      <xdr:col>8</xdr:col>
      <xdr:colOff>571500</xdr:colOff>
      <xdr:row>11</xdr:row>
      <xdr:rowOff>44450</xdr:rowOff>
    </xdr:to>
    <xdr:sp macro="" textlink="">
      <xdr:nvSpPr>
        <xdr:cNvPr id="2" name="TextBox 1"/>
        <xdr:cNvSpPr txBox="1"/>
      </xdr:nvSpPr>
      <xdr:spPr>
        <a:xfrm>
          <a:off x="393700" y="171450"/>
          <a:ext cx="5054600" cy="1898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a:solidFill>
                <a:schemeClr val="dk1"/>
              </a:solidFill>
              <a:effectLst/>
              <a:latin typeface="+mn-lt"/>
              <a:ea typeface="+mn-ea"/>
              <a:cs typeface="+mn-cs"/>
            </a:rPr>
            <a:t>Using the outputs</a:t>
          </a:r>
          <a:r>
            <a:rPr lang="en-US" sz="1100" baseline="0">
              <a:solidFill>
                <a:schemeClr val="dk1"/>
              </a:solidFill>
              <a:effectLst/>
              <a:latin typeface="+mn-lt"/>
              <a:ea typeface="+mn-ea"/>
              <a:cs typeface="+mn-cs"/>
            </a:rPr>
            <a:t> of the cash budget on the previous page, create a verticle column chart on this page that shows the balances of outstanding short term loans and marketable securities by month for April - December.  These are two separate data series. Short term loan balances should display BELOW the zero line (as negative values) and marketable securities balances should diplay above the zero line (as positive values). FORMAT the chart so that it is self-explanatory and professional in appearance.  Set the Y-axis maximum to $60,000 and the minimum to -$120,000 with major unit divisions set to $20,000. FORMAT the chart so that it is self-explanatory and professiona and appropriatel in appearance. Include a legend for the two series that displays at the bottom of the chart.</a:t>
          </a:r>
          <a:endParaRPr lang="en-US">
            <a:effectLst/>
          </a:endParaRPr>
        </a:p>
        <a:p>
          <a:endParaRPr lang="en-US" sz="1100"/>
        </a:p>
      </xdr:txBody>
    </xdr:sp>
    <xdr:clientData/>
  </xdr:twoCellAnchor>
  <xdr:twoCellAnchor>
    <xdr:from>
      <xdr:col>0</xdr:col>
      <xdr:colOff>447674</xdr:colOff>
      <xdr:row>12</xdr:row>
      <xdr:rowOff>104774</xdr:rowOff>
    </xdr:from>
    <xdr:to>
      <xdr:col>10</xdr:col>
      <xdr:colOff>304799</xdr:colOff>
      <xdr:row>34</xdr:row>
      <xdr:rowOff>146049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371476</xdr:colOff>
      <xdr:row>0</xdr:row>
      <xdr:rowOff>171450</xdr:rowOff>
    </xdr:from>
    <xdr:to>
      <xdr:col>5</xdr:col>
      <xdr:colOff>390526</xdr:colOff>
      <xdr:row>4</xdr:row>
      <xdr:rowOff>76200</xdr:rowOff>
    </xdr:to>
    <xdr:sp macro="" textlink="">
      <xdr:nvSpPr>
        <xdr:cNvPr id="2" name="TextBox 1"/>
        <xdr:cNvSpPr txBox="1"/>
      </xdr:nvSpPr>
      <xdr:spPr>
        <a:xfrm>
          <a:off x="371476" y="171450"/>
          <a:ext cx="4038600" cy="157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t>The table below lists the</a:t>
          </a:r>
          <a:r>
            <a:rPr lang="en-US" sz="1200" baseline="0"/>
            <a:t> year-end price of XYZ Co. stock since 2000. Compute the annual rate of return for the stock in the third column of the table. Also create whatever forumlas are necessary to compute the geometric mean of the annual rates of return. Put your final answer in the yellow cell below the table. Be sure to label any intermediate calculations for partial credit. 10 Points</a:t>
          </a:r>
          <a:endParaRPr 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285751</xdr:colOff>
      <xdr:row>0</xdr:row>
      <xdr:rowOff>137272</xdr:rowOff>
    </xdr:from>
    <xdr:to>
      <xdr:col>4</xdr:col>
      <xdr:colOff>304801</xdr:colOff>
      <xdr:row>5</xdr:row>
      <xdr:rowOff>122705</xdr:rowOff>
    </xdr:to>
    <xdr:sp macro="" textlink="">
      <xdr:nvSpPr>
        <xdr:cNvPr id="2" name="Rounded Rectangle 1"/>
        <xdr:cNvSpPr/>
      </xdr:nvSpPr>
      <xdr:spPr>
        <a:xfrm>
          <a:off x="285751" y="137272"/>
          <a:ext cx="5498726" cy="1352551"/>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600" b="1" u="sng"/>
            <a:t>Problem 5</a:t>
          </a:r>
        </a:p>
        <a:p>
          <a:pPr algn="ctr"/>
          <a:r>
            <a:rPr lang="en-US" sz="1600" b="1"/>
            <a:t>Format the area below</a:t>
          </a:r>
          <a:r>
            <a:rPr lang="en-US" sz="1600" b="1" baseline="0"/>
            <a:t> to look as much like the picture to the right as possible. Do not include the arrows.</a:t>
          </a:r>
        </a:p>
        <a:p>
          <a:pPr algn="l"/>
          <a:endParaRPr lang="en-US" sz="1100"/>
        </a:p>
      </xdr:txBody>
    </xdr:sp>
    <xdr:clientData/>
  </xdr:twoCellAnchor>
  <xdr:twoCellAnchor>
    <xdr:from>
      <xdr:col>4</xdr:col>
      <xdr:colOff>77316</xdr:colOff>
      <xdr:row>7</xdr:row>
      <xdr:rowOff>78441</xdr:rowOff>
    </xdr:from>
    <xdr:to>
      <xdr:col>8</xdr:col>
      <xdr:colOff>493058</xdr:colOff>
      <xdr:row>13</xdr:row>
      <xdr:rowOff>44824</xdr:rowOff>
    </xdr:to>
    <xdr:sp macro="" textlink="">
      <xdr:nvSpPr>
        <xdr:cNvPr id="5" name="Right Arrow 4"/>
        <xdr:cNvSpPr/>
      </xdr:nvSpPr>
      <xdr:spPr>
        <a:xfrm flipH="1">
          <a:off x="4985492" y="1826559"/>
          <a:ext cx="2836213" cy="1490383"/>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Rows</a:t>
          </a:r>
          <a:r>
            <a:rPr lang="en-US" sz="1100" baseline="0"/>
            <a:t> 11, 12, and 13 have a row height of 30 with 18 pt. fonts, and the text is centered horizonally and vertically.</a:t>
          </a:r>
          <a:endParaRPr lang="en-US" sz="1100"/>
        </a:p>
      </xdr:txBody>
    </xdr:sp>
    <xdr:clientData/>
  </xdr:twoCellAnchor>
  <xdr:twoCellAnchor>
    <xdr:from>
      <xdr:col>4</xdr:col>
      <xdr:colOff>133350</xdr:colOff>
      <xdr:row>16</xdr:row>
      <xdr:rowOff>142874</xdr:rowOff>
    </xdr:from>
    <xdr:to>
      <xdr:col>8</xdr:col>
      <xdr:colOff>133350</xdr:colOff>
      <xdr:row>23</xdr:row>
      <xdr:rowOff>95249</xdr:rowOff>
    </xdr:to>
    <xdr:sp macro="" textlink="">
      <xdr:nvSpPr>
        <xdr:cNvPr id="6" name="Right Arrow 5"/>
        <xdr:cNvSpPr/>
      </xdr:nvSpPr>
      <xdr:spPr>
        <a:xfrm flipH="1">
          <a:off x="5038725" y="3867149"/>
          <a:ext cx="2438400" cy="1343025"/>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Column B is 25 characters</a:t>
          </a:r>
          <a:r>
            <a:rPr lang="en-US" sz="1100" baseline="0"/>
            <a:t> wide. Columns C and D are 18 characters wide.</a:t>
          </a:r>
        </a:p>
        <a:p>
          <a:pPr algn="l"/>
          <a:endParaRPr lang="en-US" sz="1100"/>
        </a:p>
      </xdr:txBody>
    </xdr:sp>
    <xdr:clientData/>
  </xdr:twoCellAnchor>
  <xdr:twoCellAnchor>
    <xdr:from>
      <xdr:col>4</xdr:col>
      <xdr:colOff>133348</xdr:colOff>
      <xdr:row>12</xdr:row>
      <xdr:rowOff>48745</xdr:rowOff>
    </xdr:from>
    <xdr:to>
      <xdr:col>8</xdr:col>
      <xdr:colOff>470646</xdr:colOff>
      <xdr:row>15</xdr:row>
      <xdr:rowOff>134470</xdr:rowOff>
    </xdr:to>
    <xdr:sp macro="" textlink="">
      <xdr:nvSpPr>
        <xdr:cNvPr id="8" name="Right Arrow 7"/>
        <xdr:cNvSpPr/>
      </xdr:nvSpPr>
      <xdr:spPr>
        <a:xfrm flipH="1">
          <a:off x="5041524" y="3007098"/>
          <a:ext cx="2757769" cy="1251137"/>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Row 14</a:t>
          </a:r>
          <a:r>
            <a:rPr lang="en-US" sz="1100" baseline="0"/>
            <a:t> is 50 points high with 14 pt fonts</a:t>
          </a:r>
          <a:endParaRPr lang="en-US" sz="1100"/>
        </a:p>
      </xdr:txBody>
    </xdr:sp>
    <xdr:clientData/>
  </xdr:twoCellAnchor>
  <xdr:twoCellAnchor>
    <xdr:from>
      <xdr:col>4</xdr:col>
      <xdr:colOff>122143</xdr:colOff>
      <xdr:row>23</xdr:row>
      <xdr:rowOff>93568</xdr:rowOff>
    </xdr:from>
    <xdr:to>
      <xdr:col>8</xdr:col>
      <xdr:colOff>122143</xdr:colOff>
      <xdr:row>28</xdr:row>
      <xdr:rowOff>67236</xdr:rowOff>
    </xdr:to>
    <xdr:sp macro="" textlink="">
      <xdr:nvSpPr>
        <xdr:cNvPr id="9" name="Right Arrow 8"/>
        <xdr:cNvSpPr/>
      </xdr:nvSpPr>
      <xdr:spPr>
        <a:xfrm flipH="1">
          <a:off x="5601819" y="5842186"/>
          <a:ext cx="2420471" cy="1071844"/>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Row 27 is</a:t>
          </a:r>
          <a:r>
            <a:rPr lang="en-US" sz="1100" baseline="0"/>
            <a:t> 30 pixels high with 14 pt. fonts</a:t>
          </a:r>
          <a:endParaRPr lang="en-US" sz="1100"/>
        </a:p>
      </xdr:txBody>
    </xdr:sp>
    <xdr:clientData/>
  </xdr:twoCellAnchor>
  <xdr:twoCellAnchor editAs="oneCell">
    <xdr:from>
      <xdr:col>9</xdr:col>
      <xdr:colOff>320040</xdr:colOff>
      <xdr:row>6</xdr:row>
      <xdr:rowOff>167640</xdr:rowOff>
    </xdr:from>
    <xdr:to>
      <xdr:col>23</xdr:col>
      <xdr:colOff>22860</xdr:colOff>
      <xdr:row>28</xdr:row>
      <xdr:rowOff>175260</xdr:rowOff>
    </xdr:to>
    <xdr:pic>
      <xdr:nvPicPr>
        <xdr:cNvPr id="11"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1691640"/>
          <a:ext cx="8450580" cy="5318760"/>
        </a:xfrm>
        <a:prstGeom prst="rect">
          <a:avLst/>
        </a:prstGeom>
        <a:noFill/>
        <a:ln w="44450">
          <a:solidFill>
            <a:schemeClr val="lt1">
              <a:shade val="50000"/>
            </a:schemeClr>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201706</xdr:colOff>
      <xdr:row>1</xdr:row>
      <xdr:rowOff>22412</xdr:rowOff>
    </xdr:from>
    <xdr:to>
      <xdr:col>16</xdr:col>
      <xdr:colOff>179294</xdr:colOff>
      <xdr:row>2</xdr:row>
      <xdr:rowOff>44824</xdr:rowOff>
    </xdr:to>
    <xdr:sp macro="" textlink="">
      <xdr:nvSpPr>
        <xdr:cNvPr id="2" name="TextBox 1"/>
        <xdr:cNvSpPr txBox="1"/>
      </xdr:nvSpPr>
      <xdr:spPr>
        <a:xfrm>
          <a:off x="459441" y="212912"/>
          <a:ext cx="7754471" cy="179294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u="sng"/>
            <a:t>Multiple Choice</a:t>
          </a:r>
          <a:r>
            <a:rPr lang="en-US" sz="1800" b="1" u="sng" baseline="0"/>
            <a:t> and True/False Questions</a:t>
          </a:r>
          <a:endParaRPr lang="en-US" sz="1800" b="1" u="sng"/>
        </a:p>
        <a:p>
          <a:pPr algn="ctr"/>
          <a:endParaRPr lang="en-US" sz="1600" b="1"/>
        </a:p>
        <a:p>
          <a:pPr algn="ctr"/>
          <a:r>
            <a:rPr lang="en-US" sz="1600" b="1"/>
            <a:t>A</a:t>
          </a:r>
          <a:r>
            <a:rPr lang="en-US" sz="1600" b="1" baseline="0"/>
            <a:t> maximum of 20 points are possible in this section. </a:t>
          </a:r>
        </a:p>
        <a:p>
          <a:pPr algn="ctr"/>
          <a:r>
            <a:rPr lang="en-US" sz="1600" b="1" baseline="0"/>
            <a:t>2 points will be subtracted from the 20 points possible for each incorrect response. </a:t>
          </a:r>
        </a:p>
        <a:p>
          <a:pPr algn="ctr"/>
          <a:endParaRPr lang="en-US" sz="1600" b="1" baseline="0"/>
        </a:p>
        <a:p>
          <a:pPr algn="ctr"/>
          <a:r>
            <a:rPr lang="en-US" sz="1600" b="1" baseline="0"/>
            <a:t>Record your answers in the YELLOW cells.</a:t>
          </a:r>
          <a:endParaRPr lang="en-US" sz="16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8"/>
  <sheetViews>
    <sheetView showGridLines="0" tabSelected="1" zoomScale="115" zoomScaleNormal="115" workbookViewId="0">
      <selection activeCell="D10" sqref="D10"/>
    </sheetView>
  </sheetViews>
  <sheetFormatPr defaultRowHeight="14.4" x14ac:dyDescent="0.3"/>
  <cols>
    <col min="1" max="1" width="3.109375" customWidth="1"/>
    <col min="2" max="2" width="4.5546875" customWidth="1"/>
  </cols>
  <sheetData>
    <row r="2" spans="2:2" ht="18" x14ac:dyDescent="0.35">
      <c r="B2" s="53" t="s">
        <v>111</v>
      </c>
    </row>
    <row r="3" spans="2:2" ht="18" x14ac:dyDescent="0.35">
      <c r="B3" s="53" t="s">
        <v>112</v>
      </c>
    </row>
    <row r="4" spans="2:2" ht="18" x14ac:dyDescent="0.35">
      <c r="B4" s="53" t="s">
        <v>113</v>
      </c>
    </row>
    <row r="5" spans="2:2" ht="11.1" customHeight="1" x14ac:dyDescent="0.35">
      <c r="B5" s="53"/>
    </row>
    <row r="6" spans="2:2" ht="18" x14ac:dyDescent="0.35">
      <c r="B6" s="53" t="s">
        <v>114</v>
      </c>
    </row>
    <row r="7" spans="2:2" ht="18" x14ac:dyDescent="0.35">
      <c r="B7" s="53" t="s">
        <v>130</v>
      </c>
    </row>
    <row r="8" spans="2:2" ht="11.1" customHeight="1" x14ac:dyDescent="0.35">
      <c r="B8" s="53"/>
    </row>
    <row r="9" spans="2:2" s="52" customFormat="1" ht="18" x14ac:dyDescent="0.35">
      <c r="B9" s="53" t="s">
        <v>117</v>
      </c>
    </row>
    <row r="10" spans="2:2" s="52" customFormat="1" ht="18" x14ac:dyDescent="0.35">
      <c r="B10" s="53" t="s">
        <v>118</v>
      </c>
    </row>
    <row r="11" spans="2:2" s="52" customFormat="1" ht="18" x14ac:dyDescent="0.35">
      <c r="B11" s="53" t="s">
        <v>119</v>
      </c>
    </row>
    <row r="12" spans="2:2" ht="14.1" customHeight="1" x14ac:dyDescent="0.35">
      <c r="B12" s="53"/>
    </row>
    <row r="13" spans="2:2" x14ac:dyDescent="0.3">
      <c r="B13" s="52" t="s">
        <v>131</v>
      </c>
    </row>
    <row r="14" spans="2:2" ht="8.4" customHeight="1" x14ac:dyDescent="0.35">
      <c r="B14" s="53"/>
    </row>
    <row r="15" spans="2:2" x14ac:dyDescent="0.3">
      <c r="B15" s="52" t="s">
        <v>115</v>
      </c>
    </row>
    <row r="16" spans="2:2" ht="6" customHeight="1" x14ac:dyDescent="0.3">
      <c r="B16" s="52"/>
    </row>
    <row r="17" spans="2:3" x14ac:dyDescent="0.3">
      <c r="B17" s="52" t="s">
        <v>116</v>
      </c>
    </row>
    <row r="18" spans="2:3" x14ac:dyDescent="0.3">
      <c r="B18" s="52"/>
    </row>
    <row r="19" spans="2:3" s="54" customFormat="1" x14ac:dyDescent="0.3">
      <c r="B19" s="54" t="s">
        <v>132</v>
      </c>
    </row>
    <row r="20" spans="2:3" s="54" customFormat="1" x14ac:dyDescent="0.3">
      <c r="B20" s="54" t="s">
        <v>177</v>
      </c>
    </row>
    <row r="21" spans="2:3" s="54" customFormat="1" x14ac:dyDescent="0.3">
      <c r="B21" s="54" t="s">
        <v>133</v>
      </c>
    </row>
    <row r="22" spans="2:3" s="54" customFormat="1" x14ac:dyDescent="0.3"/>
    <row r="23" spans="2:3" s="54" customFormat="1" ht="18" x14ac:dyDescent="0.35">
      <c r="B23" s="55" t="s">
        <v>120</v>
      </c>
    </row>
    <row r="24" spans="2:3" s="52" customFormat="1" x14ac:dyDescent="0.3"/>
    <row r="25" spans="2:3" s="52" customFormat="1" ht="6.6" customHeight="1" x14ac:dyDescent="0.3"/>
    <row r="26" spans="2:3" s="52" customFormat="1" ht="18" x14ac:dyDescent="0.35">
      <c r="C26" s="55" t="s">
        <v>121</v>
      </c>
    </row>
    <row r="27" spans="2:3" s="52" customFormat="1" ht="18" x14ac:dyDescent="0.35">
      <c r="C27" s="55" t="s">
        <v>134</v>
      </c>
    </row>
    <row r="28" spans="2:3" s="52" customFormat="1" ht="18" x14ac:dyDescent="0.35">
      <c r="C28" s="55" t="s">
        <v>135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97"/>
  <sheetViews>
    <sheetView zoomScaleNormal="100" workbookViewId="0"/>
  </sheetViews>
  <sheetFormatPr defaultRowHeight="14.4" x14ac:dyDescent="0.3"/>
  <cols>
    <col min="1" max="1" width="2.88671875" customWidth="1"/>
    <col min="2" max="2" width="37.109375" customWidth="1"/>
    <col min="3" max="3" width="5.109375" customWidth="1"/>
    <col min="4" max="4" width="17.109375" customWidth="1"/>
    <col min="5" max="5" width="14" customWidth="1"/>
    <col min="6" max="7" width="12.88671875" customWidth="1"/>
    <col min="8" max="8" width="4" customWidth="1"/>
    <col min="9" max="9" width="3" customWidth="1"/>
    <col min="10" max="10" width="3.5546875" style="2" customWidth="1"/>
    <col min="11" max="11" width="76.44140625" customWidth="1"/>
    <col min="12" max="12" width="2.109375" customWidth="1"/>
  </cols>
  <sheetData>
    <row r="1" spans="2:12" ht="15" thickBot="1" x14ac:dyDescent="0.35">
      <c r="B1" s="1"/>
      <c r="C1" s="1"/>
      <c r="D1" s="1"/>
    </row>
    <row r="2" spans="2:12" s="3" customFormat="1" ht="24" customHeight="1" thickBot="1" x14ac:dyDescent="0.4">
      <c r="B2" s="170" t="s">
        <v>206</v>
      </c>
      <c r="C2" s="170"/>
      <c r="D2" s="170"/>
      <c r="I2" s="78"/>
      <c r="J2" s="79"/>
      <c r="K2" s="80"/>
      <c r="L2" s="81"/>
    </row>
    <row r="3" spans="2:12" s="3" customFormat="1" ht="18.75" customHeight="1" x14ac:dyDescent="0.3">
      <c r="B3" s="4" t="s">
        <v>0</v>
      </c>
      <c r="C3" s="4"/>
      <c r="D3" s="187">
        <v>0.35</v>
      </c>
      <c r="I3" s="82"/>
      <c r="J3" s="83" t="s">
        <v>65</v>
      </c>
      <c r="K3" s="188" t="s">
        <v>209</v>
      </c>
      <c r="L3" s="85"/>
    </row>
    <row r="4" spans="2:12" s="3" customFormat="1" x14ac:dyDescent="0.3">
      <c r="B4" s="4" t="s">
        <v>1</v>
      </c>
      <c r="C4" s="4"/>
      <c r="D4" s="161">
        <v>350000</v>
      </c>
      <c r="I4" s="82"/>
      <c r="J4" s="86"/>
      <c r="K4" s="188" t="s">
        <v>66</v>
      </c>
      <c r="L4" s="85"/>
    </row>
    <row r="5" spans="2:12" s="3" customFormat="1" x14ac:dyDescent="0.3">
      <c r="B5" s="4" t="s">
        <v>12</v>
      </c>
      <c r="C5" s="4"/>
      <c r="D5" s="162">
        <v>6750000</v>
      </c>
      <c r="I5" s="82"/>
      <c r="J5" s="86"/>
      <c r="K5" s="188" t="s">
        <v>210</v>
      </c>
      <c r="L5" s="85"/>
    </row>
    <row r="6" spans="2:12" s="3" customFormat="1" x14ac:dyDescent="0.3">
      <c r="B6" s="4" t="s">
        <v>2</v>
      </c>
      <c r="C6" s="4"/>
      <c r="D6" s="162">
        <v>850000</v>
      </c>
      <c r="I6" s="82"/>
      <c r="J6" s="86"/>
      <c r="K6" s="188" t="s">
        <v>68</v>
      </c>
      <c r="L6" s="85"/>
    </row>
    <row r="7" spans="2:12" s="56" customFormat="1" x14ac:dyDescent="0.3">
      <c r="B7" s="4" t="s">
        <v>4</v>
      </c>
      <c r="C7" s="4"/>
      <c r="D7" s="162">
        <v>845000</v>
      </c>
      <c r="I7" s="82"/>
      <c r="J7" s="84"/>
      <c r="K7" s="188"/>
      <c r="L7" s="85"/>
    </row>
    <row r="8" spans="2:12" s="56" customFormat="1" x14ac:dyDescent="0.3">
      <c r="B8" s="4" t="s">
        <v>5</v>
      </c>
      <c r="C8" s="4"/>
      <c r="D8" s="162">
        <v>120000</v>
      </c>
      <c r="I8" s="82"/>
      <c r="J8" s="83" t="s">
        <v>67</v>
      </c>
      <c r="K8" s="188" t="s">
        <v>211</v>
      </c>
      <c r="L8" s="85"/>
    </row>
    <row r="9" spans="2:12" s="3" customFormat="1" x14ac:dyDescent="0.3">
      <c r="B9" s="4" t="s">
        <v>3</v>
      </c>
      <c r="C9" s="4"/>
      <c r="D9" s="162">
        <v>1250000</v>
      </c>
      <c r="I9" s="82"/>
      <c r="J9" s="86"/>
      <c r="K9" s="84" t="s">
        <v>69</v>
      </c>
      <c r="L9" s="85"/>
    </row>
    <row r="10" spans="2:12" s="3" customFormat="1" x14ac:dyDescent="0.3">
      <c r="B10" s="4" t="s">
        <v>7</v>
      </c>
      <c r="C10" s="4"/>
      <c r="D10" s="162">
        <v>2550000</v>
      </c>
      <c r="I10" s="82"/>
      <c r="J10" s="86"/>
      <c r="K10" s="84"/>
      <c r="L10" s="85"/>
    </row>
    <row r="11" spans="2:12" s="3" customFormat="1" x14ac:dyDescent="0.3">
      <c r="B11" s="4" t="s">
        <v>8</v>
      </c>
      <c r="C11" s="4"/>
      <c r="D11" s="162">
        <v>1420000</v>
      </c>
      <c r="I11" s="82"/>
      <c r="J11" s="83" t="s">
        <v>70</v>
      </c>
      <c r="K11" s="84" t="s">
        <v>71</v>
      </c>
      <c r="L11" s="85"/>
    </row>
    <row r="12" spans="2:12" s="3" customFormat="1" x14ac:dyDescent="0.3">
      <c r="B12" s="4" t="s">
        <v>9</v>
      </c>
      <c r="C12" s="4"/>
      <c r="D12" s="162">
        <v>1045000</v>
      </c>
      <c r="I12" s="82"/>
      <c r="J12" s="86"/>
      <c r="K12" s="84" t="s">
        <v>72</v>
      </c>
      <c r="L12" s="85"/>
    </row>
    <row r="13" spans="2:12" s="3" customFormat="1" ht="15" thickBot="1" x14ac:dyDescent="0.35">
      <c r="B13" s="4" t="s">
        <v>6</v>
      </c>
      <c r="C13" s="4"/>
      <c r="D13" s="163">
        <v>0.5</v>
      </c>
      <c r="I13" s="87"/>
      <c r="J13" s="90"/>
      <c r="K13" s="89"/>
      <c r="L13" s="88"/>
    </row>
    <row r="14" spans="2:12" s="3" customFormat="1" ht="15" thickBot="1" x14ac:dyDescent="0.35">
      <c r="B14" s="6" t="s">
        <v>73</v>
      </c>
      <c r="C14" s="6"/>
      <c r="D14" s="164">
        <v>125000</v>
      </c>
      <c r="I14" s="50"/>
      <c r="J14" s="51"/>
      <c r="K14" s="50"/>
      <c r="L14" s="50"/>
    </row>
    <row r="15" spans="2:12" s="3" customFormat="1" ht="16.2" x14ac:dyDescent="0.45">
      <c r="B15" s="7" t="s">
        <v>207</v>
      </c>
      <c r="C15" s="7"/>
      <c r="D15" s="5"/>
      <c r="I15" s="50"/>
      <c r="J15" s="51"/>
      <c r="K15" s="50"/>
      <c r="L15" s="50"/>
    </row>
    <row r="16" spans="2:12" ht="15" thickBot="1" x14ac:dyDescent="0.35">
      <c r="B16" s="8" t="s">
        <v>208</v>
      </c>
      <c r="C16" s="8"/>
      <c r="D16" s="1"/>
      <c r="I16" s="50"/>
      <c r="J16" s="51"/>
      <c r="K16" s="50"/>
      <c r="L16" s="50"/>
    </row>
    <row r="17" spans="2:12" ht="15" thickBot="1" x14ac:dyDescent="0.35">
      <c r="B17" s="1"/>
      <c r="C17" s="1"/>
      <c r="D17" s="1"/>
      <c r="E17" s="1"/>
      <c r="F17" s="1"/>
      <c r="G17" s="1"/>
      <c r="I17" s="50"/>
      <c r="J17" s="51"/>
      <c r="K17" s="50"/>
      <c r="L17" s="50"/>
    </row>
    <row r="18" spans="2:12" ht="21" customHeight="1" x14ac:dyDescent="0.35">
      <c r="B18" s="171" t="s">
        <v>10</v>
      </c>
      <c r="C18" s="171"/>
      <c r="D18" s="171"/>
      <c r="E18" s="171"/>
      <c r="F18" s="171"/>
      <c r="G18" s="171"/>
      <c r="I18" s="50"/>
      <c r="J18" s="51"/>
      <c r="K18" s="50"/>
      <c r="L18" s="50"/>
    </row>
    <row r="19" spans="2:12" ht="21" customHeight="1" x14ac:dyDescent="0.35">
      <c r="B19" s="171" t="s">
        <v>212</v>
      </c>
      <c r="C19" s="171"/>
      <c r="D19" s="171"/>
      <c r="E19" s="171"/>
      <c r="F19" s="171"/>
      <c r="G19" s="171"/>
      <c r="I19" s="50"/>
      <c r="J19" s="51"/>
      <c r="K19" s="50"/>
      <c r="L19" s="50"/>
    </row>
    <row r="20" spans="2:12" ht="21" customHeight="1" thickBot="1" x14ac:dyDescent="0.4">
      <c r="B20" s="165" t="s">
        <v>11</v>
      </c>
      <c r="C20" s="165"/>
      <c r="D20" s="166"/>
      <c r="E20" s="166"/>
      <c r="F20" s="166"/>
      <c r="G20" s="166"/>
      <c r="I20" s="50"/>
      <c r="J20" s="51"/>
      <c r="K20" s="50"/>
      <c r="L20" s="50"/>
    </row>
    <row r="21" spans="2:12" ht="9" customHeight="1" x14ac:dyDescent="0.35">
      <c r="B21" s="9"/>
      <c r="C21" s="9"/>
      <c r="D21" s="9"/>
      <c r="E21" s="9"/>
      <c r="F21" s="9"/>
      <c r="G21" s="9"/>
      <c r="I21" s="50"/>
      <c r="J21" s="51"/>
      <c r="K21" s="50"/>
      <c r="L21" s="50"/>
    </row>
    <row r="22" spans="2:12" ht="16.2" x14ac:dyDescent="0.45">
      <c r="B22" s="3"/>
      <c r="C22" s="3"/>
      <c r="D22" s="189" t="s">
        <v>213</v>
      </c>
      <c r="E22" s="189" t="s">
        <v>202</v>
      </c>
      <c r="F22" s="189" t="s">
        <v>213</v>
      </c>
      <c r="G22" s="189" t="s">
        <v>202</v>
      </c>
      <c r="I22" s="50"/>
      <c r="J22" s="51"/>
      <c r="K22" s="50"/>
      <c r="L22" s="50"/>
    </row>
    <row r="23" spans="2:12" x14ac:dyDescent="0.3">
      <c r="B23" s="3" t="s">
        <v>12</v>
      </c>
      <c r="C23" s="3"/>
      <c r="D23" s="10">
        <f>D5/1000</f>
        <v>6750</v>
      </c>
      <c r="E23" s="10">
        <v>6540</v>
      </c>
      <c r="F23" s="11">
        <f>D23/D$23</f>
        <v>1</v>
      </c>
      <c r="G23" s="11">
        <f>E23/E$23</f>
        <v>1</v>
      </c>
      <c r="I23" s="50"/>
      <c r="J23" s="51"/>
      <c r="K23" s="50"/>
      <c r="L23" s="50"/>
    </row>
    <row r="24" spans="2:12" ht="16.2" x14ac:dyDescent="0.45">
      <c r="B24" s="12" t="s">
        <v>13</v>
      </c>
      <c r="C24" s="12"/>
      <c r="D24" s="12">
        <f>E24/E23*D23</f>
        <v>2967.3165137614678</v>
      </c>
      <c r="E24" s="12">
        <v>2875</v>
      </c>
      <c r="F24" s="11">
        <f t="shared" ref="F24:G33" si="0">D24/D$23</f>
        <v>0.43960244648318042</v>
      </c>
      <c r="G24" s="11">
        <f t="shared" si="0"/>
        <v>0.43960244648318042</v>
      </c>
      <c r="H24" s="13"/>
      <c r="I24" s="50"/>
      <c r="J24" s="51"/>
      <c r="K24" s="50"/>
      <c r="L24" s="50"/>
    </row>
    <row r="25" spans="2:12" x14ac:dyDescent="0.3">
      <c r="B25" s="3" t="s">
        <v>14</v>
      </c>
      <c r="C25" s="3"/>
      <c r="D25" s="10">
        <f>D23-D24</f>
        <v>3782.6834862385322</v>
      </c>
      <c r="E25" s="10">
        <f>E23-E24</f>
        <v>3665</v>
      </c>
      <c r="F25" s="11">
        <f t="shared" si="0"/>
        <v>0.56039755351681964</v>
      </c>
      <c r="G25" s="11">
        <f t="shared" si="0"/>
        <v>0.56039755351681952</v>
      </c>
    </row>
    <row r="26" spans="2:12" x14ac:dyDescent="0.3">
      <c r="B26" s="3" t="s">
        <v>2</v>
      </c>
      <c r="C26" s="3"/>
      <c r="D26" s="3">
        <f>D6/1000</f>
        <v>850</v>
      </c>
      <c r="E26" s="3">
        <v>890</v>
      </c>
      <c r="F26" s="11">
        <f t="shared" si="0"/>
        <v>0.12592592592592591</v>
      </c>
      <c r="G26" s="11">
        <f t="shared" si="0"/>
        <v>0.13608562691131498</v>
      </c>
    </row>
    <row r="27" spans="2:12" x14ac:dyDescent="0.3">
      <c r="B27" s="3" t="s">
        <v>3</v>
      </c>
      <c r="C27" s="3"/>
      <c r="D27" s="3">
        <f>D9/1000</f>
        <v>1250</v>
      </c>
      <c r="E27" s="3">
        <v>1200</v>
      </c>
      <c r="F27" s="11">
        <f t="shared" si="0"/>
        <v>0.18518518518518517</v>
      </c>
      <c r="G27" s="11">
        <f t="shared" si="0"/>
        <v>0.1834862385321101</v>
      </c>
    </row>
    <row r="28" spans="2:12" ht="16.2" x14ac:dyDescent="0.45">
      <c r="B28" s="12" t="s">
        <v>4</v>
      </c>
      <c r="C28" s="12"/>
      <c r="D28" s="29">
        <f>D7/1000</f>
        <v>845</v>
      </c>
      <c r="E28" s="12">
        <v>825</v>
      </c>
      <c r="F28" s="11">
        <f t="shared" si="0"/>
        <v>0.12518518518518518</v>
      </c>
      <c r="G28" s="11">
        <f t="shared" si="0"/>
        <v>0.12614678899082568</v>
      </c>
    </row>
    <row r="29" spans="2:12" x14ac:dyDescent="0.3">
      <c r="B29" s="3" t="s">
        <v>15</v>
      </c>
      <c r="C29" s="3"/>
      <c r="D29" s="10">
        <f>D25-D26-D27-D28</f>
        <v>837.68348623853217</v>
      </c>
      <c r="E29" s="10">
        <f>E25-E26-E27-E28</f>
        <v>750</v>
      </c>
      <c r="F29" s="11">
        <f t="shared" si="0"/>
        <v>0.12410125722052329</v>
      </c>
      <c r="G29" s="11">
        <f t="shared" si="0"/>
        <v>0.11467889908256881</v>
      </c>
    </row>
    <row r="30" spans="2:12" ht="16.2" x14ac:dyDescent="0.45">
      <c r="B30" s="12" t="s">
        <v>5</v>
      </c>
      <c r="C30" s="12"/>
      <c r="D30" s="12">
        <f>D8/1000</f>
        <v>120</v>
      </c>
      <c r="E30" s="12">
        <v>125</v>
      </c>
      <c r="F30" s="11">
        <f t="shared" si="0"/>
        <v>1.7777777777777778E-2</v>
      </c>
      <c r="G30" s="11">
        <f t="shared" si="0"/>
        <v>1.91131498470948E-2</v>
      </c>
    </row>
    <row r="31" spans="2:12" x14ac:dyDescent="0.3">
      <c r="B31" s="3" t="s">
        <v>16</v>
      </c>
      <c r="C31" s="3"/>
      <c r="D31" s="10">
        <f>D29-D30</f>
        <v>717.68348623853217</v>
      </c>
      <c r="E31" s="10">
        <f>E29-E30</f>
        <v>625</v>
      </c>
      <c r="F31" s="11">
        <f t="shared" si="0"/>
        <v>0.10632347944274551</v>
      </c>
      <c r="G31" s="11">
        <f t="shared" si="0"/>
        <v>9.5565749235474007E-2</v>
      </c>
    </row>
    <row r="32" spans="2:12" ht="16.2" x14ac:dyDescent="0.45">
      <c r="B32" s="12" t="s">
        <v>17</v>
      </c>
      <c r="C32" s="12"/>
      <c r="D32" s="12">
        <f>D31*D3</f>
        <v>251.18922018348624</v>
      </c>
      <c r="E32" s="12">
        <f>E31*0.355</f>
        <v>221.875</v>
      </c>
      <c r="F32" s="11">
        <f t="shared" si="0"/>
        <v>3.7213217804960924E-2</v>
      </c>
      <c r="G32" s="11">
        <f t="shared" si="0"/>
        <v>3.3925840978593275E-2</v>
      </c>
    </row>
    <row r="33" spans="2:7" x14ac:dyDescent="0.3">
      <c r="B33" s="3" t="s">
        <v>18</v>
      </c>
      <c r="C33" s="3"/>
      <c r="D33" s="10">
        <f>D31-D32</f>
        <v>466.49426605504595</v>
      </c>
      <c r="E33" s="10">
        <f>E31-E32</f>
        <v>403.125</v>
      </c>
      <c r="F33" s="11">
        <f t="shared" si="0"/>
        <v>6.9110261637784581E-2</v>
      </c>
      <c r="G33" s="11">
        <f t="shared" si="0"/>
        <v>6.1639908256880732E-2</v>
      </c>
    </row>
    <row r="34" spans="2:7" ht="16.8" thickBot="1" x14ac:dyDescent="0.5">
      <c r="B34" s="29"/>
      <c r="C34" s="12"/>
      <c r="D34" s="12"/>
      <c r="E34" s="12"/>
      <c r="F34" s="11"/>
      <c r="G34" s="11"/>
    </row>
    <row r="35" spans="2:7" ht="15" thickBot="1" x14ac:dyDescent="0.35">
      <c r="B35" s="3" t="s">
        <v>19</v>
      </c>
      <c r="D35" s="28">
        <f>D33/D4*1000</f>
        <v>1.3328407601572743</v>
      </c>
      <c r="E35" s="10"/>
      <c r="F35" s="11"/>
      <c r="G35" s="11"/>
    </row>
    <row r="36" spans="2:7" ht="7.5" customHeight="1" x14ac:dyDescent="0.3">
      <c r="B36" s="3"/>
      <c r="C36" s="3"/>
      <c r="D36" s="10"/>
      <c r="E36" s="10"/>
    </row>
    <row r="37" spans="2:7" ht="7.5" customHeight="1" x14ac:dyDescent="0.3"/>
    <row r="38" spans="2:7" ht="7.5" customHeight="1" thickBot="1" x14ac:dyDescent="0.35">
      <c r="B38" s="1"/>
      <c r="C38" s="1"/>
      <c r="D38" s="1"/>
      <c r="E38" s="1"/>
      <c r="F38" s="1"/>
      <c r="G38" s="1"/>
    </row>
    <row r="39" spans="2:7" ht="18" x14ac:dyDescent="0.35">
      <c r="B39" s="171" t="s">
        <v>20</v>
      </c>
      <c r="C39" s="171"/>
      <c r="D39" s="171"/>
      <c r="E39" s="171"/>
      <c r="F39" s="171"/>
      <c r="G39" s="171"/>
    </row>
    <row r="40" spans="2:7" ht="18" x14ac:dyDescent="0.35">
      <c r="B40" s="171" t="s">
        <v>212</v>
      </c>
      <c r="C40" s="171"/>
      <c r="D40" s="171"/>
      <c r="E40" s="171"/>
      <c r="F40" s="171"/>
      <c r="G40" s="171"/>
    </row>
    <row r="41" spans="2:7" ht="18.600000000000001" thickBot="1" x14ac:dyDescent="0.4">
      <c r="B41" s="165" t="s">
        <v>11</v>
      </c>
      <c r="C41" s="165"/>
      <c r="D41" s="166"/>
      <c r="E41" s="166"/>
      <c r="F41" s="166"/>
      <c r="G41" s="166"/>
    </row>
    <row r="42" spans="2:7" ht="18" x14ac:dyDescent="0.35">
      <c r="B42" s="14"/>
      <c r="C42" s="14"/>
      <c r="D42" s="9"/>
      <c r="E42" s="9"/>
      <c r="F42" s="9"/>
      <c r="G42" s="9"/>
    </row>
    <row r="43" spans="2:7" ht="16.2" x14ac:dyDescent="0.45">
      <c r="D43" s="198" t="s">
        <v>213</v>
      </c>
      <c r="E43" s="198" t="s">
        <v>202</v>
      </c>
      <c r="F43" s="198" t="s">
        <v>213</v>
      </c>
      <c r="G43" s="198" t="s">
        <v>202</v>
      </c>
    </row>
    <row r="44" spans="2:7" x14ac:dyDescent="0.3">
      <c r="B44" s="15" t="s">
        <v>21</v>
      </c>
      <c r="C44" s="3"/>
      <c r="D44" s="16">
        <f>D49-D48-D47-D46-D45</f>
        <v>4209.494266055046</v>
      </c>
      <c r="E44" s="16">
        <f>2850+185</f>
        <v>3035</v>
      </c>
      <c r="F44" s="11">
        <f>D44/D$67</f>
        <v>0.28116727637529515</v>
      </c>
      <c r="G44" s="11">
        <f>E44/E$67</f>
        <v>0.21395840676771238</v>
      </c>
    </row>
    <row r="45" spans="2:7" x14ac:dyDescent="0.3">
      <c r="B45" s="15" t="s">
        <v>22</v>
      </c>
      <c r="C45" s="3"/>
      <c r="D45" s="63">
        <v>745</v>
      </c>
      <c r="E45" s="3">
        <v>675</v>
      </c>
      <c r="F45" s="11">
        <f t="shared" ref="F45:G67" si="1">D45/D$67</f>
        <v>4.9761232029400214E-2</v>
      </c>
      <c r="G45" s="11">
        <f t="shared" si="1"/>
        <v>4.758547761720127E-2</v>
      </c>
    </row>
    <row r="46" spans="2:7" x14ac:dyDescent="0.3">
      <c r="B46" s="15" t="s">
        <v>23</v>
      </c>
      <c r="C46" s="3"/>
      <c r="D46" s="3">
        <f>D10/1000</f>
        <v>2550</v>
      </c>
      <c r="E46" s="3">
        <v>2190</v>
      </c>
      <c r="F46" s="11">
        <f t="shared" si="1"/>
        <v>0.17032368010063159</v>
      </c>
      <c r="G46" s="11">
        <f t="shared" si="1"/>
        <v>0.15438843849136411</v>
      </c>
    </row>
    <row r="47" spans="2:7" x14ac:dyDescent="0.3">
      <c r="B47" s="15" t="s">
        <v>8</v>
      </c>
      <c r="C47" s="3"/>
      <c r="D47" s="56">
        <f>D11/1000</f>
        <v>1420</v>
      </c>
      <c r="E47" s="3">
        <v>1560</v>
      </c>
      <c r="F47" s="11">
        <f t="shared" si="1"/>
        <v>9.4846912056037985E-2</v>
      </c>
      <c r="G47" s="11">
        <f t="shared" si="1"/>
        <v>0.10997532604864294</v>
      </c>
    </row>
    <row r="48" spans="2:7" ht="16.2" x14ac:dyDescent="0.45">
      <c r="B48" s="17" t="s">
        <v>24</v>
      </c>
      <c r="C48" s="3"/>
      <c r="D48" s="64">
        <v>52</v>
      </c>
      <c r="E48" s="12">
        <v>45</v>
      </c>
      <c r="F48" s="11">
        <f t="shared" si="1"/>
        <v>3.4732672020520955E-3</v>
      </c>
      <c r="G48" s="11">
        <f t="shared" si="1"/>
        <v>3.1723651744800848E-3</v>
      </c>
    </row>
    <row r="49" spans="2:11" x14ac:dyDescent="0.3">
      <c r="B49" s="18" t="s">
        <v>25</v>
      </c>
      <c r="C49" s="18"/>
      <c r="D49" s="19">
        <f>D54-D53-D52</f>
        <v>8976.494266055046</v>
      </c>
      <c r="E49" s="19">
        <f>SUM(E44:E48)</f>
        <v>7505</v>
      </c>
      <c r="F49" s="11">
        <f t="shared" si="1"/>
        <v>0.59957236776341705</v>
      </c>
      <c r="G49" s="11">
        <f t="shared" si="1"/>
        <v>0.52908001409940075</v>
      </c>
    </row>
    <row r="50" spans="2:11" x14ac:dyDescent="0.3">
      <c r="B50" s="15" t="s">
        <v>26</v>
      </c>
      <c r="C50" s="3"/>
      <c r="D50" s="3">
        <f>E50+D14/1000</f>
        <v>8820</v>
      </c>
      <c r="E50" s="3">
        <v>8695</v>
      </c>
      <c r="F50" s="11">
        <f t="shared" si="1"/>
        <v>0.58911955234806701</v>
      </c>
      <c r="G50" s="11">
        <f t="shared" si="1"/>
        <v>0.61297144871342968</v>
      </c>
    </row>
    <row r="51" spans="2:11" ht="16.2" x14ac:dyDescent="0.45">
      <c r="B51" s="17" t="s">
        <v>27</v>
      </c>
      <c r="C51" s="3"/>
      <c r="D51" s="12">
        <f>E51+D28</f>
        <v>3685</v>
      </c>
      <c r="E51" s="12">
        <v>2840</v>
      </c>
      <c r="F51" s="11">
        <f t="shared" si="1"/>
        <v>0.24613441614542253</v>
      </c>
      <c r="G51" s="11">
        <f t="shared" si="1"/>
        <v>0.20021149101163199</v>
      </c>
    </row>
    <row r="52" spans="2:11" x14ac:dyDescent="0.3">
      <c r="B52" s="18" t="s">
        <v>28</v>
      </c>
      <c r="C52" s="3"/>
      <c r="D52" s="19">
        <f>D50-D51</f>
        <v>5135</v>
      </c>
      <c r="E52" s="19">
        <f>E50-E51</f>
        <v>5855</v>
      </c>
      <c r="F52" s="11">
        <f t="shared" si="1"/>
        <v>0.34298513620264443</v>
      </c>
      <c r="G52" s="11">
        <f t="shared" si="1"/>
        <v>0.41275995770179769</v>
      </c>
    </row>
    <row r="53" spans="2:11" ht="16.2" x14ac:dyDescent="0.45">
      <c r="B53" s="20" t="s">
        <v>29</v>
      </c>
      <c r="C53" s="3"/>
      <c r="D53" s="64">
        <v>860</v>
      </c>
      <c r="E53" s="12">
        <v>825</v>
      </c>
      <c r="F53" s="11">
        <f t="shared" si="1"/>
        <v>5.74424960339385E-2</v>
      </c>
      <c r="G53" s="11">
        <f t="shared" si="1"/>
        <v>5.8160028198801554E-2</v>
      </c>
    </row>
    <row r="54" spans="2:11" x14ac:dyDescent="0.3">
      <c r="B54" s="21" t="s">
        <v>30</v>
      </c>
      <c r="C54" s="21"/>
      <c r="D54" s="22">
        <f>D67</f>
        <v>14971.494266055046</v>
      </c>
      <c r="E54" s="22">
        <f>E53+E52+E49</f>
        <v>14185</v>
      </c>
      <c r="F54" s="11">
        <f t="shared" si="1"/>
        <v>1</v>
      </c>
      <c r="G54" s="11">
        <f t="shared" si="1"/>
        <v>1</v>
      </c>
    </row>
    <row r="55" spans="2:11" x14ac:dyDescent="0.3">
      <c r="B55" s="3"/>
      <c r="C55" s="3"/>
      <c r="D55" s="3"/>
      <c r="E55" s="3"/>
      <c r="F55" s="11"/>
      <c r="G55" s="11"/>
    </row>
    <row r="56" spans="2:11" x14ac:dyDescent="0.3">
      <c r="B56" s="15" t="s">
        <v>31</v>
      </c>
      <c r="C56" s="3"/>
      <c r="D56" s="16">
        <f>D12/1000</f>
        <v>1045</v>
      </c>
      <c r="E56" s="16">
        <v>965</v>
      </c>
      <c r="F56" s="11">
        <f t="shared" si="1"/>
        <v>6.9799312041239223E-2</v>
      </c>
      <c r="G56" s="11">
        <f t="shared" si="1"/>
        <v>6.8029608741628486E-2</v>
      </c>
    </row>
    <row r="57" spans="2:11" x14ac:dyDescent="0.3">
      <c r="B57" s="15" t="s">
        <v>32</v>
      </c>
      <c r="C57" s="3"/>
      <c r="D57" s="63">
        <v>70</v>
      </c>
      <c r="E57" s="3">
        <v>85</v>
      </c>
      <c r="F57" s="11">
        <f t="shared" si="1"/>
        <v>4.6755520027624365E-3</v>
      </c>
      <c r="G57" s="11">
        <f t="shared" si="1"/>
        <v>5.9922453295734928E-3</v>
      </c>
    </row>
    <row r="58" spans="2:11" x14ac:dyDescent="0.3">
      <c r="B58" s="15" t="s">
        <v>33</v>
      </c>
      <c r="C58" s="3"/>
      <c r="D58" s="63">
        <v>150</v>
      </c>
      <c r="E58" s="3">
        <v>125</v>
      </c>
      <c r="F58" s="11">
        <f t="shared" si="1"/>
        <v>1.0019040005919506E-2</v>
      </c>
      <c r="G58" s="11">
        <f t="shared" si="1"/>
        <v>8.8121254846669009E-3</v>
      </c>
    </row>
    <row r="59" spans="2:11" ht="16.2" x14ac:dyDescent="0.45">
      <c r="B59" s="17" t="s">
        <v>34</v>
      </c>
      <c r="C59" s="3"/>
      <c r="D59" s="64">
        <v>450</v>
      </c>
      <c r="E59" s="12">
        <v>320</v>
      </c>
      <c r="F59" s="11">
        <f t="shared" si="1"/>
        <v>3.005712001775852E-2</v>
      </c>
      <c r="G59" s="11">
        <f t="shared" si="1"/>
        <v>2.2559041240747268E-2</v>
      </c>
    </row>
    <row r="60" spans="2:11" x14ac:dyDescent="0.3">
      <c r="B60" s="18" t="s">
        <v>35</v>
      </c>
      <c r="C60" s="3"/>
      <c r="D60" s="19">
        <f>SUM(D56:D59)</f>
        <v>1715</v>
      </c>
      <c r="E60" s="19">
        <f>SUM(E56:E59)</f>
        <v>1495</v>
      </c>
      <c r="F60" s="11">
        <f t="shared" si="1"/>
        <v>0.11455102406767968</v>
      </c>
      <c r="G60" s="11">
        <f t="shared" si="1"/>
        <v>0.10539302079661614</v>
      </c>
    </row>
    <row r="61" spans="2:11" ht="16.2" x14ac:dyDescent="0.45">
      <c r="B61" s="17" t="s">
        <v>36</v>
      </c>
      <c r="C61" s="3"/>
      <c r="D61" s="64">
        <v>4125</v>
      </c>
      <c r="E61" s="12">
        <v>3850</v>
      </c>
      <c r="F61" s="11">
        <f t="shared" si="1"/>
        <v>0.27552360016278643</v>
      </c>
      <c r="G61" s="11">
        <f t="shared" si="1"/>
        <v>0.27141346492774054</v>
      </c>
    </row>
    <row r="62" spans="2:11" x14ac:dyDescent="0.3">
      <c r="B62" s="18" t="s">
        <v>37</v>
      </c>
      <c r="C62" s="3"/>
      <c r="D62" s="19">
        <f>D60+D61</f>
        <v>5840</v>
      </c>
      <c r="E62" s="19">
        <f>E60+E61</f>
        <v>5345</v>
      </c>
      <c r="F62" s="11">
        <f t="shared" si="1"/>
        <v>0.39007462423046613</v>
      </c>
      <c r="G62" s="11">
        <f t="shared" si="1"/>
        <v>0.37680648572435671</v>
      </c>
    </row>
    <row r="63" spans="2:11" x14ac:dyDescent="0.3">
      <c r="B63" s="15" t="s">
        <v>38</v>
      </c>
      <c r="C63" s="3"/>
      <c r="D63" s="63">
        <v>4525</v>
      </c>
      <c r="E63" s="3">
        <v>4525</v>
      </c>
      <c r="F63" s="11">
        <f t="shared" si="1"/>
        <v>0.30224104017857178</v>
      </c>
      <c r="G63" s="11">
        <f t="shared" si="1"/>
        <v>0.31899894254494182</v>
      </c>
      <c r="K63">
        <f>6277-6158</f>
        <v>119</v>
      </c>
    </row>
    <row r="64" spans="2:11" x14ac:dyDescent="0.3">
      <c r="B64" s="15" t="s">
        <v>39</v>
      </c>
      <c r="C64" s="3"/>
      <c r="D64" s="63">
        <v>1450</v>
      </c>
      <c r="E64" s="3">
        <v>1450</v>
      </c>
      <c r="F64" s="11">
        <f t="shared" si="1"/>
        <v>9.6850720057221895E-2</v>
      </c>
      <c r="G64" s="11">
        <f t="shared" si="1"/>
        <v>0.10222065562213606</v>
      </c>
    </row>
    <row r="65" spans="2:7" ht="16.2" x14ac:dyDescent="0.45">
      <c r="B65" s="17" t="s">
        <v>40</v>
      </c>
      <c r="C65" s="3"/>
      <c r="D65" s="12">
        <f>D33-(D13*D4/1000)+E65</f>
        <v>3156.494266055046</v>
      </c>
      <c r="E65" s="12">
        <v>2865</v>
      </c>
      <c r="F65" s="11">
        <f t="shared" si="1"/>
        <v>0.21083361553374022</v>
      </c>
      <c r="G65" s="11">
        <f t="shared" si="1"/>
        <v>0.20197391610856538</v>
      </c>
    </row>
    <row r="66" spans="2:7" ht="16.2" x14ac:dyDescent="0.45">
      <c r="B66" s="23" t="s">
        <v>41</v>
      </c>
      <c r="C66" s="3"/>
      <c r="D66" s="24">
        <f>D63+D64+D65</f>
        <v>9131.494266055046</v>
      </c>
      <c r="E66" s="24">
        <f>E63+E64+E65</f>
        <v>8840</v>
      </c>
      <c r="F66" s="11">
        <f t="shared" si="1"/>
        <v>0.60992537576953387</v>
      </c>
      <c r="G66" s="11">
        <f t="shared" si="1"/>
        <v>0.62319351427564329</v>
      </c>
    </row>
    <row r="67" spans="2:7" x14ac:dyDescent="0.3">
      <c r="B67" s="21" t="s">
        <v>42</v>
      </c>
      <c r="C67" s="21"/>
      <c r="D67" s="22">
        <f>D66+D62</f>
        <v>14971.494266055046</v>
      </c>
      <c r="E67" s="22">
        <f>E66+E62</f>
        <v>14185</v>
      </c>
      <c r="F67" s="11">
        <f t="shared" si="1"/>
        <v>1</v>
      </c>
      <c r="G67" s="11">
        <f t="shared" si="1"/>
        <v>1</v>
      </c>
    </row>
    <row r="68" spans="2:7" ht="15" thickBot="1" x14ac:dyDescent="0.35">
      <c r="B68" s="25"/>
      <c r="C68" s="25"/>
      <c r="D68" s="26"/>
      <c r="E68" s="26"/>
    </row>
    <row r="69" spans="2:7" ht="18" x14ac:dyDescent="0.35">
      <c r="B69" s="167" t="s">
        <v>43</v>
      </c>
      <c r="C69" s="167"/>
      <c r="D69" s="167"/>
      <c r="E69" s="167"/>
    </row>
    <row r="70" spans="2:7" ht="18.600000000000001" thickBot="1" x14ac:dyDescent="0.4">
      <c r="B70" s="168" t="s">
        <v>11</v>
      </c>
      <c r="C70" s="168"/>
      <c r="D70" s="168"/>
      <c r="E70" s="168"/>
    </row>
    <row r="72" spans="2:7" ht="16.2" x14ac:dyDescent="0.45">
      <c r="D72" s="169" t="s">
        <v>213</v>
      </c>
      <c r="E72" s="169"/>
    </row>
    <row r="73" spans="2:7" ht="15.6" x14ac:dyDescent="0.3">
      <c r="B73" s="27" t="s">
        <v>44</v>
      </c>
      <c r="C73" s="3"/>
      <c r="D73" s="3"/>
    </row>
    <row r="74" spans="2:7" x14ac:dyDescent="0.3">
      <c r="B74" s="15" t="s">
        <v>45</v>
      </c>
      <c r="C74" s="3"/>
      <c r="D74" s="3"/>
    </row>
    <row r="75" spans="2:7" x14ac:dyDescent="0.3">
      <c r="B75" s="15" t="s">
        <v>46</v>
      </c>
      <c r="C75" s="3"/>
    </row>
    <row r="76" spans="2:7" x14ac:dyDescent="0.3">
      <c r="B76" s="15" t="s">
        <v>47</v>
      </c>
      <c r="C76" s="3"/>
    </row>
    <row r="77" spans="2:7" x14ac:dyDescent="0.3">
      <c r="B77" s="15" t="s">
        <v>48</v>
      </c>
      <c r="C77" s="3"/>
      <c r="D77" s="57">
        <f>E46-D46</f>
        <v>-360</v>
      </c>
    </row>
    <row r="78" spans="2:7" x14ac:dyDescent="0.3">
      <c r="B78" s="15" t="s">
        <v>49</v>
      </c>
      <c r="C78" s="3"/>
      <c r="D78" s="192">
        <f>E47-D47</f>
        <v>140</v>
      </c>
    </row>
    <row r="79" spans="2:7" x14ac:dyDescent="0.3">
      <c r="B79" s="15" t="s">
        <v>50</v>
      </c>
      <c r="C79" s="3"/>
      <c r="D79" s="99"/>
    </row>
    <row r="80" spans="2:7" x14ac:dyDescent="0.3">
      <c r="B80" s="15" t="s">
        <v>51</v>
      </c>
      <c r="C80" s="3"/>
      <c r="D80" s="57">
        <f>D56-E56</f>
        <v>80</v>
      </c>
    </row>
    <row r="81" spans="2:4" ht="16.2" x14ac:dyDescent="0.45">
      <c r="B81" s="17" t="s">
        <v>52</v>
      </c>
      <c r="C81" s="3"/>
    </row>
    <row r="82" spans="2:4" x14ac:dyDescent="0.3">
      <c r="B82" s="18" t="s">
        <v>53</v>
      </c>
      <c r="C82" s="18"/>
      <c r="D82" s="18"/>
    </row>
    <row r="83" spans="2:4" x14ac:dyDescent="0.3">
      <c r="B83" s="3"/>
      <c r="C83" s="3"/>
      <c r="D83" s="3"/>
    </row>
    <row r="84" spans="2:4" x14ac:dyDescent="0.3">
      <c r="B84" s="18" t="s">
        <v>54</v>
      </c>
      <c r="C84" s="3"/>
      <c r="D84" s="3"/>
    </row>
    <row r="85" spans="2:4" x14ac:dyDescent="0.3">
      <c r="B85" s="15" t="s">
        <v>55</v>
      </c>
      <c r="C85" s="3"/>
    </row>
    <row r="86" spans="2:4" ht="16.2" x14ac:dyDescent="0.45">
      <c r="B86" s="17" t="s">
        <v>56</v>
      </c>
      <c r="C86" s="3"/>
      <c r="D86" s="57">
        <f>E53-D53</f>
        <v>-35</v>
      </c>
    </row>
    <row r="87" spans="2:4" x14ac:dyDescent="0.3">
      <c r="B87" s="18" t="s">
        <v>57</v>
      </c>
      <c r="C87" s="18"/>
      <c r="D87" s="18"/>
    </row>
    <row r="88" spans="2:4" x14ac:dyDescent="0.3">
      <c r="B88" s="3"/>
      <c r="C88" s="3"/>
    </row>
    <row r="89" spans="2:4" x14ac:dyDescent="0.3">
      <c r="B89" s="18" t="s">
        <v>58</v>
      </c>
      <c r="C89" s="3"/>
      <c r="D89" s="3"/>
    </row>
    <row r="90" spans="2:4" x14ac:dyDescent="0.3">
      <c r="B90" s="15" t="s">
        <v>98</v>
      </c>
      <c r="C90" s="3"/>
      <c r="D90" s="57">
        <f>D57-E57</f>
        <v>-15</v>
      </c>
    </row>
    <row r="91" spans="2:4" x14ac:dyDescent="0.3">
      <c r="B91" s="15" t="s">
        <v>59</v>
      </c>
      <c r="C91" s="3"/>
    </row>
    <row r="92" spans="2:4" x14ac:dyDescent="0.3">
      <c r="B92" s="15" t="s">
        <v>60</v>
      </c>
      <c r="C92" s="3"/>
    </row>
    <row r="93" spans="2:4" x14ac:dyDescent="0.3">
      <c r="B93" s="15" t="s">
        <v>61</v>
      </c>
      <c r="C93" s="3"/>
      <c r="D93" s="18"/>
    </row>
    <row r="94" spans="2:4" ht="16.2" x14ac:dyDescent="0.45">
      <c r="B94" s="17" t="s">
        <v>62</v>
      </c>
      <c r="C94" s="3"/>
      <c r="D94" s="57">
        <f>-D13*D4/1000</f>
        <v>-175</v>
      </c>
    </row>
    <row r="95" spans="2:4" x14ac:dyDescent="0.3">
      <c r="B95" s="18" t="s">
        <v>63</v>
      </c>
      <c r="C95" s="3"/>
      <c r="D95" s="18"/>
    </row>
    <row r="96" spans="2:4" x14ac:dyDescent="0.3">
      <c r="B96" s="3"/>
      <c r="C96" s="3"/>
      <c r="D96" s="3"/>
    </row>
    <row r="97" spans="2:4" x14ac:dyDescent="0.3">
      <c r="B97" s="21" t="s">
        <v>64</v>
      </c>
      <c r="C97" s="21"/>
      <c r="D97" s="21"/>
    </row>
  </sheetData>
  <mergeCells count="10">
    <mergeCell ref="B41:G41"/>
    <mergeCell ref="B69:E69"/>
    <mergeCell ref="B70:E70"/>
    <mergeCell ref="D72:E72"/>
    <mergeCell ref="B2:D2"/>
    <mergeCell ref="B18:G18"/>
    <mergeCell ref="B20:G20"/>
    <mergeCell ref="B39:G39"/>
    <mergeCell ref="B19:G19"/>
    <mergeCell ref="B40:G40"/>
  </mergeCells>
  <pageMargins left="0.7" right="0.7" top="0.75" bottom="0.75" header="0.3" footer="0.3"/>
  <pageSetup scale="6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9:T55"/>
  <sheetViews>
    <sheetView zoomScaleNormal="100" workbookViewId="0"/>
  </sheetViews>
  <sheetFormatPr defaultRowHeight="14.4" x14ac:dyDescent="0.3"/>
  <cols>
    <col min="2" max="2" width="33.44140625" customWidth="1"/>
    <col min="5" max="14" width="9.88671875" customWidth="1"/>
  </cols>
  <sheetData>
    <row r="19" spans="2:20" ht="15" thickBot="1" x14ac:dyDescent="0.35">
      <c r="B19" s="30"/>
      <c r="C19" s="30"/>
      <c r="D19" s="30"/>
      <c r="E19" s="30"/>
      <c r="F19" s="30"/>
      <c r="G19" s="30"/>
      <c r="H19" s="30"/>
      <c r="I19" s="30"/>
      <c r="J19" s="30"/>
      <c r="K19" s="30"/>
      <c r="L19" s="30"/>
      <c r="M19" s="30"/>
      <c r="N19" s="30"/>
    </row>
    <row r="20" spans="2:20" ht="22.5" customHeight="1" thickBot="1" x14ac:dyDescent="0.35">
      <c r="B20" s="172" t="s">
        <v>93</v>
      </c>
      <c r="C20" s="173"/>
      <c r="D20" s="173"/>
      <c r="E20" s="173"/>
      <c r="F20" s="173"/>
      <c r="G20" s="173"/>
      <c r="H20" s="173"/>
      <c r="I20" s="173"/>
      <c r="J20" s="173"/>
      <c r="K20" s="173"/>
      <c r="L20" s="173"/>
      <c r="M20" s="173"/>
      <c r="N20" s="174"/>
    </row>
    <row r="21" spans="2:20" ht="15" thickBot="1" x14ac:dyDescent="0.35">
      <c r="B21" s="30"/>
      <c r="C21" s="30"/>
      <c r="D21" s="30"/>
      <c r="E21" s="30"/>
      <c r="F21" s="30"/>
      <c r="G21" s="30"/>
      <c r="H21" s="30"/>
      <c r="I21" s="30"/>
      <c r="J21" s="30"/>
      <c r="K21" s="30"/>
      <c r="L21" s="30"/>
      <c r="M21" s="30"/>
      <c r="N21" s="30"/>
    </row>
    <row r="22" spans="2:20" ht="15" thickBot="1" x14ac:dyDescent="0.35">
      <c r="B22" s="46" t="s">
        <v>99</v>
      </c>
      <c r="C22" s="31"/>
      <c r="D22" s="30"/>
      <c r="E22" s="30"/>
      <c r="F22" s="44">
        <v>0.45</v>
      </c>
      <c r="G22" s="30"/>
      <c r="H22" s="33" t="s">
        <v>100</v>
      </c>
      <c r="I22" s="30"/>
      <c r="J22" s="30"/>
      <c r="K22" s="30"/>
      <c r="L22" s="43">
        <v>125000</v>
      </c>
      <c r="M22" s="30"/>
      <c r="N22" s="30"/>
    </row>
    <row r="23" spans="2:20" ht="15" thickBot="1" x14ac:dyDescent="0.35">
      <c r="B23" s="46" t="s">
        <v>101</v>
      </c>
      <c r="C23" s="31"/>
      <c r="D23" s="30"/>
      <c r="E23" s="30"/>
      <c r="F23" s="44">
        <v>0.2</v>
      </c>
      <c r="G23" s="30"/>
      <c r="H23" s="30"/>
      <c r="I23" s="30"/>
      <c r="J23" s="30"/>
      <c r="K23" s="30"/>
      <c r="L23" s="30"/>
      <c r="M23" s="30"/>
      <c r="N23" s="30"/>
      <c r="T23" t="s">
        <v>78</v>
      </c>
    </row>
    <row r="24" spans="2:20" ht="15" thickBot="1" x14ac:dyDescent="0.35">
      <c r="B24" s="46" t="s">
        <v>102</v>
      </c>
      <c r="C24" s="31"/>
      <c r="D24" s="30"/>
      <c r="E24" s="30"/>
      <c r="F24" s="44">
        <v>0.35</v>
      </c>
      <c r="G24" s="30"/>
      <c r="H24" s="33" t="s">
        <v>103</v>
      </c>
      <c r="I24" s="30"/>
      <c r="J24" s="30"/>
      <c r="K24" s="30"/>
      <c r="L24" s="38" t="s">
        <v>137</v>
      </c>
      <c r="M24" s="30"/>
      <c r="N24" s="30"/>
      <c r="T24" t="s">
        <v>136</v>
      </c>
    </row>
    <row r="25" spans="2:20" ht="15" thickBot="1" x14ac:dyDescent="0.35">
      <c r="B25" s="36"/>
      <c r="C25" s="31"/>
      <c r="D25" s="30"/>
      <c r="E25" s="30"/>
      <c r="F25" s="99"/>
      <c r="G25" s="30"/>
      <c r="H25" s="30"/>
      <c r="I25" s="30"/>
      <c r="J25" s="30"/>
      <c r="K25" s="30"/>
      <c r="L25" s="30"/>
      <c r="M25" s="30"/>
      <c r="N25" s="30"/>
      <c r="T25" t="s">
        <v>137</v>
      </c>
    </row>
    <row r="26" spans="2:20" ht="15" thickBot="1" x14ac:dyDescent="0.35">
      <c r="B26" s="33" t="s">
        <v>104</v>
      </c>
      <c r="C26" s="31"/>
      <c r="D26" s="30"/>
      <c r="E26" s="30"/>
      <c r="F26" s="44">
        <v>0.32</v>
      </c>
      <c r="G26" s="30"/>
      <c r="H26" s="46" t="s">
        <v>94</v>
      </c>
      <c r="I26" s="30"/>
      <c r="J26" s="30"/>
      <c r="K26" s="30"/>
      <c r="L26" s="43">
        <v>30000</v>
      </c>
      <c r="M26" s="30"/>
      <c r="N26" s="30"/>
      <c r="T26" t="s">
        <v>138</v>
      </c>
    </row>
    <row r="27" spans="2:20" x14ac:dyDescent="0.3">
      <c r="B27" s="30"/>
      <c r="C27" s="31"/>
      <c r="D27" s="30"/>
      <c r="E27" s="30"/>
      <c r="F27" s="30"/>
      <c r="G27" s="30"/>
      <c r="H27" s="30"/>
      <c r="I27" s="30"/>
      <c r="J27" s="30"/>
      <c r="K27" s="30"/>
      <c r="L27" s="30"/>
      <c r="M27" s="30"/>
      <c r="N27" s="30"/>
    </row>
    <row r="28" spans="2:20" ht="16.2" x14ac:dyDescent="0.45">
      <c r="B28" s="36"/>
      <c r="C28" s="42" t="s">
        <v>74</v>
      </c>
      <c r="D28" s="42" t="s">
        <v>75</v>
      </c>
      <c r="E28" s="42" t="s">
        <v>76</v>
      </c>
      <c r="F28" s="42" t="s">
        <v>77</v>
      </c>
      <c r="G28" s="42" t="s">
        <v>78</v>
      </c>
      <c r="H28" s="42" t="s">
        <v>79</v>
      </c>
      <c r="I28" s="42" t="s">
        <v>80</v>
      </c>
      <c r="J28" s="42" t="s">
        <v>81</v>
      </c>
      <c r="K28" s="42" t="s">
        <v>82</v>
      </c>
      <c r="L28" s="42" t="s">
        <v>83</v>
      </c>
      <c r="M28" s="42" t="s">
        <v>84</v>
      </c>
      <c r="N28" s="42" t="s">
        <v>85</v>
      </c>
    </row>
    <row r="29" spans="2:20" x14ac:dyDescent="0.3">
      <c r="B29" s="33" t="s">
        <v>105</v>
      </c>
      <c r="C29" s="59">
        <v>15000</v>
      </c>
      <c r="D29" s="59">
        <v>16825</v>
      </c>
      <c r="E29" s="59">
        <v>17425</v>
      </c>
      <c r="F29" s="58">
        <v>16250</v>
      </c>
      <c r="G29" s="58">
        <v>15540</v>
      </c>
      <c r="H29" s="58">
        <v>17985</v>
      </c>
      <c r="I29" s="58">
        <v>20500</v>
      </c>
      <c r="J29" s="58">
        <v>23480</v>
      </c>
      <c r="K29" s="58">
        <v>22250</v>
      </c>
      <c r="L29" s="58">
        <v>19670</v>
      </c>
      <c r="M29" s="58">
        <v>23400</v>
      </c>
      <c r="N29" s="58">
        <v>24980</v>
      </c>
    </row>
    <row r="30" spans="2:20" x14ac:dyDescent="0.3">
      <c r="B30" s="30"/>
      <c r="C30" s="31"/>
      <c r="D30" s="31"/>
      <c r="E30" s="31"/>
      <c r="F30" s="31"/>
      <c r="G30" s="31"/>
      <c r="H30" s="31"/>
      <c r="I30" s="31"/>
      <c r="J30" s="31"/>
      <c r="K30" s="31"/>
      <c r="L30" s="31"/>
      <c r="M30" s="31"/>
      <c r="N30" s="31"/>
    </row>
    <row r="31" spans="2:20" x14ac:dyDescent="0.3">
      <c r="B31" s="36" t="s">
        <v>106</v>
      </c>
      <c r="C31" s="31"/>
      <c r="D31" s="31"/>
      <c r="E31" s="31"/>
      <c r="F31" s="48">
        <f t="shared" ref="F31:N31" si="0">F29*Collect0+E29*Collect1+D29*Collect2</f>
        <v>16686.25</v>
      </c>
      <c r="G31" s="48">
        <f t="shared" si="0"/>
        <v>16341.75</v>
      </c>
      <c r="H31" s="48">
        <f t="shared" si="0"/>
        <v>16888.75</v>
      </c>
      <c r="I31" s="48">
        <f t="shared" si="0"/>
        <v>18261</v>
      </c>
      <c r="J31" s="48">
        <f t="shared" si="0"/>
        <v>20960.75</v>
      </c>
      <c r="K31" s="48">
        <f t="shared" si="0"/>
        <v>21883.5</v>
      </c>
      <c r="L31" s="48">
        <f t="shared" si="0"/>
        <v>21519.5</v>
      </c>
      <c r="M31" s="48">
        <f t="shared" si="0"/>
        <v>22251.5</v>
      </c>
      <c r="N31" s="48">
        <f t="shared" si="0"/>
        <v>22805.5</v>
      </c>
    </row>
    <row r="32" spans="2:20" x14ac:dyDescent="0.3">
      <c r="B32" s="36"/>
      <c r="C32" s="31"/>
      <c r="D32" s="31"/>
      <c r="E32" s="31"/>
      <c r="F32" s="31"/>
      <c r="G32" s="31"/>
      <c r="H32" s="31"/>
      <c r="I32" s="31"/>
      <c r="J32" s="31"/>
      <c r="K32" s="31"/>
      <c r="L32" s="31"/>
      <c r="M32" s="31"/>
      <c r="N32" s="31"/>
    </row>
    <row r="33" spans="2:15" x14ac:dyDescent="0.3">
      <c r="B33" s="36" t="s">
        <v>107</v>
      </c>
      <c r="C33" s="31"/>
      <c r="D33" s="31"/>
      <c r="E33" s="31"/>
      <c r="F33" s="48">
        <f>F29*$F$26</f>
        <v>5200</v>
      </c>
      <c r="G33" s="48">
        <f t="shared" ref="G33:N33" si="1">G29*$F$26</f>
        <v>4972.8</v>
      </c>
      <c r="H33" s="48">
        <f t="shared" si="1"/>
        <v>5755.2</v>
      </c>
      <c r="I33" s="48">
        <f t="shared" si="1"/>
        <v>6560</v>
      </c>
      <c r="J33" s="48">
        <f t="shared" si="1"/>
        <v>7513.6</v>
      </c>
      <c r="K33" s="48">
        <f t="shared" si="1"/>
        <v>7120</v>
      </c>
      <c r="L33" s="48">
        <f t="shared" si="1"/>
        <v>6294.4000000000005</v>
      </c>
      <c r="M33" s="48">
        <f t="shared" si="1"/>
        <v>7488</v>
      </c>
      <c r="N33" s="48">
        <f t="shared" si="1"/>
        <v>7993.6</v>
      </c>
      <c r="O33" s="30"/>
    </row>
    <row r="34" spans="2:15" x14ac:dyDescent="0.3">
      <c r="B34" s="36" t="s">
        <v>3</v>
      </c>
      <c r="C34" s="31"/>
      <c r="D34" s="31"/>
      <c r="E34" s="31"/>
      <c r="F34" s="45">
        <v>3000</v>
      </c>
      <c r="G34" s="193">
        <v>3000</v>
      </c>
      <c r="H34" s="193">
        <v>3000</v>
      </c>
      <c r="I34" s="193">
        <v>3000</v>
      </c>
      <c r="J34" s="193">
        <v>3000</v>
      </c>
      <c r="K34" s="193">
        <v>3000</v>
      </c>
      <c r="L34" s="193">
        <v>3000</v>
      </c>
      <c r="M34" s="193">
        <v>3000</v>
      </c>
      <c r="N34" s="193">
        <v>3000</v>
      </c>
      <c r="O34" s="30"/>
    </row>
    <row r="35" spans="2:15" x14ac:dyDescent="0.3">
      <c r="B35" s="36" t="s">
        <v>96</v>
      </c>
      <c r="C35" s="31"/>
      <c r="D35" s="31"/>
      <c r="E35" s="31"/>
      <c r="F35" s="45">
        <v>1250</v>
      </c>
      <c r="G35" s="45">
        <v>0</v>
      </c>
      <c r="H35" s="45">
        <v>0</v>
      </c>
      <c r="I35" s="45">
        <v>1250</v>
      </c>
      <c r="J35" s="45">
        <v>0</v>
      </c>
      <c r="K35" s="45">
        <v>0</v>
      </c>
      <c r="L35" s="45">
        <v>1250</v>
      </c>
      <c r="M35" s="45">
        <v>0</v>
      </c>
      <c r="N35" s="45">
        <v>0</v>
      </c>
      <c r="O35" s="30"/>
    </row>
    <row r="36" spans="2:15" x14ac:dyDescent="0.3">
      <c r="B36" s="36" t="s">
        <v>108</v>
      </c>
      <c r="C36" s="31"/>
      <c r="D36" s="31"/>
      <c r="E36" s="31"/>
      <c r="F36" s="45">
        <v>0</v>
      </c>
      <c r="G36" s="48">
        <f>IF($L$24="May",$L$22,0)</f>
        <v>0</v>
      </c>
      <c r="H36" s="48">
        <f>IF($L$24="June",$L$22,0)</f>
        <v>0</v>
      </c>
      <c r="I36" s="48">
        <f>IF($L$24="July",$L$22,0)</f>
        <v>125000</v>
      </c>
      <c r="J36" s="48">
        <f>IF($L$24="August",$L$22,0)</f>
        <v>0</v>
      </c>
      <c r="K36" s="45">
        <v>0</v>
      </c>
      <c r="L36" s="45">
        <v>0</v>
      </c>
      <c r="M36" s="45">
        <v>0</v>
      </c>
      <c r="N36" s="45">
        <v>0</v>
      </c>
      <c r="O36" s="30"/>
    </row>
    <row r="37" spans="2:15" ht="16.2" x14ac:dyDescent="0.45">
      <c r="B37" s="49" t="s">
        <v>97</v>
      </c>
      <c r="C37" s="31"/>
      <c r="D37" s="31"/>
      <c r="E37" s="31"/>
      <c r="F37" s="47">
        <v>850</v>
      </c>
      <c r="G37" s="47">
        <v>0</v>
      </c>
      <c r="H37" s="47">
        <v>0</v>
      </c>
      <c r="I37" s="47">
        <v>980</v>
      </c>
      <c r="J37" s="47">
        <v>0</v>
      </c>
      <c r="K37" s="47">
        <v>0</v>
      </c>
      <c r="L37" s="47">
        <v>1025</v>
      </c>
      <c r="M37" s="47">
        <v>0</v>
      </c>
      <c r="N37" s="47">
        <v>0</v>
      </c>
      <c r="O37" s="30"/>
    </row>
    <row r="38" spans="2:15" x14ac:dyDescent="0.3">
      <c r="B38" s="36" t="s">
        <v>109</v>
      </c>
      <c r="C38" s="31"/>
      <c r="D38" s="31"/>
      <c r="E38" s="31"/>
      <c r="F38" s="45">
        <f>SUM(F33:F37)</f>
        <v>10300</v>
      </c>
      <c r="G38" s="59">
        <f t="shared" ref="G38:N38" si="2">SUM(G33:G37)</f>
        <v>7972.8</v>
      </c>
      <c r="H38" s="59">
        <f t="shared" si="2"/>
        <v>8755.2000000000007</v>
      </c>
      <c r="I38" s="59">
        <f t="shared" si="2"/>
        <v>136790</v>
      </c>
      <c r="J38" s="59">
        <f t="shared" si="2"/>
        <v>10513.6</v>
      </c>
      <c r="K38" s="59">
        <f t="shared" si="2"/>
        <v>10120</v>
      </c>
      <c r="L38" s="59">
        <f t="shared" si="2"/>
        <v>11569.400000000001</v>
      </c>
      <c r="M38" s="59">
        <f t="shared" si="2"/>
        <v>10488</v>
      </c>
      <c r="N38" s="59">
        <f t="shared" si="2"/>
        <v>10993.6</v>
      </c>
      <c r="O38" s="30"/>
    </row>
    <row r="39" spans="2:15" ht="15" thickBot="1" x14ac:dyDescent="0.35">
      <c r="B39" s="32"/>
      <c r="C39" s="32"/>
      <c r="D39" s="32"/>
      <c r="E39" s="32"/>
      <c r="F39" s="32"/>
      <c r="G39" s="32"/>
      <c r="H39" s="32"/>
      <c r="I39" s="32"/>
      <c r="J39" s="32"/>
      <c r="K39" s="32"/>
      <c r="L39" s="32"/>
      <c r="M39" s="32"/>
      <c r="N39" s="32"/>
      <c r="O39" s="30"/>
    </row>
    <row r="40" spans="2:15" ht="21.6" customHeight="1" thickBot="1" x14ac:dyDescent="0.35">
      <c r="B40" s="175" t="s">
        <v>95</v>
      </c>
      <c r="C40" s="175"/>
      <c r="D40" s="175"/>
      <c r="E40" s="175"/>
      <c r="F40" s="175"/>
      <c r="G40" s="175"/>
      <c r="H40" s="175"/>
      <c r="I40" s="175"/>
      <c r="J40" s="175"/>
      <c r="K40" s="175"/>
      <c r="L40" s="175"/>
      <c r="M40" s="175"/>
      <c r="N40" s="175"/>
      <c r="O40" s="30"/>
    </row>
    <row r="41" spans="2:15" ht="21.6" customHeight="1" thickBot="1" x14ac:dyDescent="0.35">
      <c r="B41" s="40"/>
      <c r="C41" s="41"/>
      <c r="D41" s="41"/>
      <c r="E41" s="41" t="s">
        <v>76</v>
      </c>
      <c r="F41" s="41" t="s">
        <v>77</v>
      </c>
      <c r="G41" s="41" t="s">
        <v>78</v>
      </c>
      <c r="H41" s="41" t="s">
        <v>79</v>
      </c>
      <c r="I41" s="41" t="s">
        <v>80</v>
      </c>
      <c r="J41" s="41" t="s">
        <v>81</v>
      </c>
      <c r="K41" s="41" t="s">
        <v>82</v>
      </c>
      <c r="L41" s="41" t="s">
        <v>83</v>
      </c>
      <c r="M41" s="41" t="s">
        <v>84</v>
      </c>
      <c r="N41" s="41" t="s">
        <v>85</v>
      </c>
      <c r="O41" s="39"/>
    </row>
    <row r="42" spans="2:15" ht="19.5" customHeight="1" x14ac:dyDescent="0.3">
      <c r="B42" s="33" t="s">
        <v>86</v>
      </c>
      <c r="C42" s="33"/>
      <c r="D42" s="33"/>
      <c r="E42" s="33"/>
      <c r="F42" s="33">
        <f>E46</f>
        <v>22500</v>
      </c>
      <c r="G42" s="60">
        <f t="shared" ref="G42:N42" si="3">F46</f>
        <v>30000</v>
      </c>
      <c r="H42" s="60">
        <f t="shared" si="3"/>
        <v>30000</v>
      </c>
      <c r="I42" s="60">
        <f t="shared" si="3"/>
        <v>30000</v>
      </c>
      <c r="J42" s="60">
        <f t="shared" si="3"/>
        <v>30000</v>
      </c>
      <c r="K42" s="60">
        <f t="shared" si="3"/>
        <v>30000</v>
      </c>
      <c r="L42" s="60">
        <f t="shared" si="3"/>
        <v>30000</v>
      </c>
      <c r="M42" s="60">
        <f t="shared" si="3"/>
        <v>30000</v>
      </c>
      <c r="N42" s="60">
        <f t="shared" si="3"/>
        <v>30000</v>
      </c>
      <c r="O42" s="30"/>
    </row>
    <row r="43" spans="2:15" ht="16.2" x14ac:dyDescent="0.45">
      <c r="B43" s="34" t="s">
        <v>87</v>
      </c>
      <c r="C43" s="35"/>
      <c r="D43" s="35"/>
      <c r="E43" s="35"/>
      <c r="F43" s="35">
        <f>F31-F38</f>
        <v>6386.25</v>
      </c>
      <c r="G43" s="35">
        <f t="shared" ref="G43:N43" si="4">G31-G38</f>
        <v>8368.9500000000007</v>
      </c>
      <c r="H43" s="35">
        <f t="shared" si="4"/>
        <v>8133.5499999999993</v>
      </c>
      <c r="I43" s="35">
        <f t="shared" si="4"/>
        <v>-118529</v>
      </c>
      <c r="J43" s="35">
        <f t="shared" si="4"/>
        <v>10447.15</v>
      </c>
      <c r="K43" s="35">
        <f t="shared" si="4"/>
        <v>11763.5</v>
      </c>
      <c r="L43" s="35">
        <f t="shared" si="4"/>
        <v>9950.0999999999985</v>
      </c>
      <c r="M43" s="35">
        <f t="shared" si="4"/>
        <v>11763.5</v>
      </c>
      <c r="N43" s="35">
        <f t="shared" si="4"/>
        <v>11811.9</v>
      </c>
      <c r="O43" s="30"/>
    </row>
    <row r="44" spans="2:15" x14ac:dyDescent="0.3">
      <c r="B44" s="36" t="s">
        <v>88</v>
      </c>
      <c r="C44" s="36"/>
      <c r="D44" s="36"/>
      <c r="E44" s="36"/>
      <c r="F44" s="36">
        <f>F42+F43</f>
        <v>28886.25</v>
      </c>
      <c r="G44" s="61">
        <f t="shared" ref="G44:N44" si="5">G42+G43</f>
        <v>38368.949999999997</v>
      </c>
      <c r="H44" s="61">
        <f t="shared" si="5"/>
        <v>38133.550000000003</v>
      </c>
      <c r="I44" s="61">
        <f t="shared" si="5"/>
        <v>-88529</v>
      </c>
      <c r="J44" s="61">
        <f t="shared" si="5"/>
        <v>40447.15</v>
      </c>
      <c r="K44" s="61">
        <f t="shared" si="5"/>
        <v>41763.5</v>
      </c>
      <c r="L44" s="61">
        <f t="shared" si="5"/>
        <v>39950.1</v>
      </c>
      <c r="M44" s="61">
        <f t="shared" si="5"/>
        <v>41763.5</v>
      </c>
      <c r="N44" s="61">
        <f t="shared" si="5"/>
        <v>41811.9</v>
      </c>
      <c r="O44" s="36"/>
    </row>
    <row r="45" spans="2:15" ht="16.2" x14ac:dyDescent="0.45">
      <c r="B45" s="34" t="s">
        <v>89</v>
      </c>
      <c r="C45" s="35"/>
      <c r="D45" s="35"/>
      <c r="E45" s="35"/>
      <c r="F45" s="35">
        <f>F46-F44</f>
        <v>1113.75</v>
      </c>
      <c r="G45" s="35">
        <f t="shared" ref="G45:N45" si="6">G46-G44</f>
        <v>-8368.9499999999971</v>
      </c>
      <c r="H45" s="35">
        <f t="shared" si="6"/>
        <v>-8133.5500000000029</v>
      </c>
      <c r="I45" s="35">
        <f t="shared" si="6"/>
        <v>118529</v>
      </c>
      <c r="J45" s="35">
        <f t="shared" si="6"/>
        <v>-10447.150000000001</v>
      </c>
      <c r="K45" s="35">
        <f t="shared" si="6"/>
        <v>-11763.5</v>
      </c>
      <c r="L45" s="35">
        <f t="shared" si="6"/>
        <v>-9950.0999999999985</v>
      </c>
      <c r="M45" s="35">
        <f t="shared" si="6"/>
        <v>-11763.5</v>
      </c>
      <c r="N45" s="35">
        <f t="shared" si="6"/>
        <v>-11811.900000000001</v>
      </c>
      <c r="O45" s="30"/>
    </row>
    <row r="46" spans="2:15" x14ac:dyDescent="0.3">
      <c r="B46" s="36" t="s">
        <v>90</v>
      </c>
      <c r="C46" s="36"/>
      <c r="D46" s="36"/>
      <c r="E46" s="36">
        <v>22500</v>
      </c>
      <c r="F46" s="36">
        <f>L26</f>
        <v>30000</v>
      </c>
      <c r="G46" s="36">
        <f>F46</f>
        <v>30000</v>
      </c>
      <c r="H46" s="61">
        <f t="shared" ref="H46:N46" si="7">G46</f>
        <v>30000</v>
      </c>
      <c r="I46" s="61">
        <f t="shared" si="7"/>
        <v>30000</v>
      </c>
      <c r="J46" s="61">
        <f t="shared" si="7"/>
        <v>30000</v>
      </c>
      <c r="K46" s="61">
        <f t="shared" si="7"/>
        <v>30000</v>
      </c>
      <c r="L46" s="61">
        <f t="shared" si="7"/>
        <v>30000</v>
      </c>
      <c r="M46" s="61">
        <f t="shared" si="7"/>
        <v>30000</v>
      </c>
      <c r="N46" s="61">
        <f t="shared" si="7"/>
        <v>30000</v>
      </c>
      <c r="O46" s="36"/>
    </row>
    <row r="47" spans="2:15" ht="6.9" customHeight="1" thickBot="1" x14ac:dyDescent="0.35">
      <c r="B47" s="32"/>
      <c r="C47" s="32"/>
      <c r="D47" s="32"/>
      <c r="E47" s="32"/>
      <c r="F47" s="32"/>
      <c r="G47" s="32"/>
      <c r="H47" s="32"/>
      <c r="I47" s="32"/>
      <c r="J47" s="32"/>
      <c r="K47" s="32"/>
      <c r="L47" s="32"/>
      <c r="M47" s="32"/>
      <c r="N47" s="32"/>
      <c r="O47" s="30"/>
    </row>
    <row r="48" spans="2:15" ht="16.2" x14ac:dyDescent="0.45">
      <c r="B48" s="37" t="s">
        <v>139</v>
      </c>
      <c r="C48" s="36"/>
      <c r="D48" s="36"/>
      <c r="E48" s="33"/>
      <c r="F48" s="33">
        <f>F45</f>
        <v>1113.75</v>
      </c>
      <c r="G48" s="33">
        <f>F48+G45</f>
        <v>-7255.1999999999971</v>
      </c>
      <c r="H48" s="60">
        <f t="shared" ref="H48:N48" si="8">G48+H45</f>
        <v>-15388.75</v>
      </c>
      <c r="I48" s="60">
        <f t="shared" si="8"/>
        <v>103140.25</v>
      </c>
      <c r="J48" s="60">
        <f t="shared" si="8"/>
        <v>92693.1</v>
      </c>
      <c r="K48" s="60">
        <f t="shared" si="8"/>
        <v>80929.600000000006</v>
      </c>
      <c r="L48" s="60">
        <f t="shared" si="8"/>
        <v>70979.5</v>
      </c>
      <c r="M48" s="60">
        <f t="shared" si="8"/>
        <v>59216</v>
      </c>
      <c r="N48" s="60">
        <f t="shared" si="8"/>
        <v>47404.1</v>
      </c>
      <c r="O48" s="35"/>
    </row>
    <row r="49" spans="2:14" ht="15" thickBot="1" x14ac:dyDescent="0.35">
      <c r="B49" s="32"/>
      <c r="C49" s="32"/>
      <c r="D49" s="32"/>
      <c r="E49" s="33"/>
      <c r="F49" s="33"/>
      <c r="G49" s="33"/>
      <c r="H49" s="33"/>
      <c r="I49" s="33"/>
      <c r="J49" s="33"/>
      <c r="K49" s="33"/>
      <c r="L49" s="33"/>
      <c r="M49" s="33"/>
      <c r="N49" s="33"/>
    </row>
    <row r="50" spans="2:14" ht="18.600000000000001" thickBot="1" x14ac:dyDescent="0.35">
      <c r="B50" s="175" t="s">
        <v>110</v>
      </c>
      <c r="C50" s="175"/>
      <c r="D50" s="175"/>
      <c r="E50" s="175"/>
      <c r="F50" s="175"/>
      <c r="G50" s="175"/>
      <c r="H50" s="175"/>
      <c r="I50" s="175"/>
      <c r="J50" s="175"/>
      <c r="K50" s="175"/>
      <c r="L50" s="175"/>
      <c r="M50" s="175"/>
      <c r="N50" s="175"/>
    </row>
    <row r="51" spans="2:14" ht="15" thickBot="1" x14ac:dyDescent="0.35">
      <c r="B51" s="40"/>
      <c r="C51" s="41"/>
      <c r="D51" s="41"/>
      <c r="E51" s="41" t="s">
        <v>76</v>
      </c>
      <c r="F51" s="41" t="s">
        <v>77</v>
      </c>
      <c r="G51" s="41" t="s">
        <v>78</v>
      </c>
      <c r="H51" s="41" t="s">
        <v>79</v>
      </c>
      <c r="I51" s="41" t="s">
        <v>80</v>
      </c>
      <c r="J51" s="41" t="s">
        <v>81</v>
      </c>
      <c r="K51" s="41" t="s">
        <v>82</v>
      </c>
      <c r="L51" s="41" t="s">
        <v>83</v>
      </c>
      <c r="M51" s="41" t="s">
        <v>84</v>
      </c>
      <c r="N51" s="41" t="s">
        <v>85</v>
      </c>
    </row>
    <row r="52" spans="2:14" ht="24.9" customHeight="1" x14ac:dyDescent="0.3">
      <c r="B52" s="33" t="s">
        <v>91</v>
      </c>
      <c r="C52" s="33"/>
      <c r="D52" s="33"/>
      <c r="E52" s="33">
        <v>0</v>
      </c>
      <c r="F52" s="33">
        <f t="shared" ref="F52:N52" si="9">IF(F48&gt;0,F48,0)</f>
        <v>1113.75</v>
      </c>
      <c r="G52" s="60">
        <f t="shared" si="9"/>
        <v>0</v>
      </c>
      <c r="H52" s="60">
        <f t="shared" si="9"/>
        <v>0</v>
      </c>
      <c r="I52" s="60">
        <f t="shared" si="9"/>
        <v>103140.25</v>
      </c>
      <c r="J52" s="60">
        <f t="shared" si="9"/>
        <v>92693.1</v>
      </c>
      <c r="K52" s="60">
        <f t="shared" si="9"/>
        <v>80929.600000000006</v>
      </c>
      <c r="L52" s="60">
        <f t="shared" si="9"/>
        <v>70979.5</v>
      </c>
      <c r="M52" s="60">
        <f t="shared" si="9"/>
        <v>59216</v>
      </c>
      <c r="N52" s="60">
        <f t="shared" si="9"/>
        <v>47404.1</v>
      </c>
    </row>
    <row r="53" spans="2:14" x14ac:dyDescent="0.3">
      <c r="B53" s="33" t="s">
        <v>92</v>
      </c>
      <c r="C53" s="33"/>
      <c r="D53" s="33"/>
      <c r="E53" s="33">
        <v>0</v>
      </c>
      <c r="F53" s="33">
        <f t="shared" ref="F53:N53" si="10">IF(F48&lt;0,-F48,0)</f>
        <v>0</v>
      </c>
      <c r="G53" s="60">
        <f t="shared" si="10"/>
        <v>7255.1999999999971</v>
      </c>
      <c r="H53" s="60">
        <f t="shared" si="10"/>
        <v>15388.75</v>
      </c>
      <c r="I53" s="60">
        <f t="shared" si="10"/>
        <v>0</v>
      </c>
      <c r="J53" s="60">
        <f t="shared" si="10"/>
        <v>0</v>
      </c>
      <c r="K53" s="60">
        <f t="shared" si="10"/>
        <v>0</v>
      </c>
      <c r="L53" s="60">
        <f t="shared" si="10"/>
        <v>0</v>
      </c>
      <c r="M53" s="60">
        <f t="shared" si="10"/>
        <v>0</v>
      </c>
      <c r="N53" s="60">
        <f t="shared" si="10"/>
        <v>0</v>
      </c>
    </row>
    <row r="54" spans="2:14" ht="5.4" customHeight="1" thickBot="1" x14ac:dyDescent="0.35">
      <c r="B54" s="32"/>
      <c r="C54" s="32"/>
      <c r="D54" s="32"/>
      <c r="E54" s="32"/>
      <c r="F54" s="32"/>
      <c r="G54" s="32"/>
      <c r="H54" s="32"/>
      <c r="I54" s="32"/>
      <c r="J54" s="32"/>
      <c r="K54" s="32"/>
      <c r="L54" s="32"/>
      <c r="M54" s="32"/>
      <c r="N54" s="32"/>
    </row>
    <row r="55" spans="2:14" ht="5.4" customHeight="1" thickBot="1" x14ac:dyDescent="0.35">
      <c r="B55" s="32"/>
      <c r="C55" s="32"/>
      <c r="D55" s="32"/>
      <c r="E55" s="32"/>
      <c r="F55" s="32"/>
      <c r="G55" s="32"/>
      <c r="H55" s="32"/>
      <c r="I55" s="32"/>
      <c r="J55" s="32"/>
      <c r="K55" s="32"/>
      <c r="L55" s="32"/>
      <c r="M55" s="32"/>
      <c r="N55" s="32"/>
    </row>
  </sheetData>
  <scenarios current="2" sqref="F43:N43">
    <scenario name="Good" locked="1" count="3" user="Del Hawley" comment="Created by Del on 9/22/2011_x000a_Modified by D Hawley on 9/22/2013_x000a_Modified by Del on 6/9/2014_x000a_Modified by Del Hawley on 2/16/2015">
      <inputCells r="F22" val="0.5" numFmtId="9"/>
      <inputCells r="F23" val="0.25" numFmtId="9"/>
      <inputCells r="F24" val="0.25" numFmtId="9"/>
    </scenario>
    <scenario name="Normal" locked="1" count="3" user="Del Hawley" comment="Created by Del on 9/22/2011_x000a_Modified by Del on 6/9/2012_x000a_Modified by D Hawley on 9/22/2013_x000a_Modified by Del on 6/9/2014_x000a_Modified by Del Hawley on 2/16/2015">
      <inputCells r="F22" val="0.45" numFmtId="9"/>
      <inputCells r="F23" val="0.2" numFmtId="9"/>
      <inputCells r="F24" val="0.35" numFmtId="9"/>
    </scenario>
    <scenario name="Bad" locked="1" count="3" user="Del Hawley" comment="Created by Del on 9/22/2011_x000a_Modified by D Hawley on 9/22/2013_x000a_Modified by Del on 6/9/2014_x000a_Modified by Del Hawley on 2/16/2015">
      <inputCells r="F22" val="0.4" numFmtId="9"/>
      <inputCells r="F23" val="0.1" numFmtId="9"/>
      <inputCells r="F24" val="0.5" numFmtId="9"/>
    </scenario>
  </scenarios>
  <mergeCells count="3">
    <mergeCell ref="B20:N20"/>
    <mergeCell ref="B40:N40"/>
    <mergeCell ref="B50:N50"/>
  </mergeCells>
  <conditionalFormatting sqref="F43:N43">
    <cfRule type="cellIs" dxfId="0" priority="1" operator="lessThan">
      <formula>0</formula>
    </cfRule>
  </conditionalFormatting>
  <dataValidations count="1">
    <dataValidation type="list" allowBlank="1" showInputMessage="1" showErrorMessage="1" sqref="L24">
      <formula1>$T$23:$T$26</formula1>
    </dataValidation>
  </dataValidations>
  <pageMargins left="0.7" right="0.7" top="0.75" bottom="0.75" header="0.3" footer="0.3"/>
  <pageSetup scale="8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B1:G21"/>
  <sheetViews>
    <sheetView showGridLines="0" workbookViewId="0">
      <selection activeCell="D26" sqref="D26"/>
    </sheetView>
  </sheetViews>
  <sheetFormatPr defaultRowHeight="14.4" outlineLevelRow="1" outlineLevelCol="1" x14ac:dyDescent="0.3"/>
  <cols>
    <col min="3" max="3" width="7.6640625" customWidth="1"/>
    <col min="4" max="7" width="13.109375" bestFit="1" customWidth="1" outlineLevel="1"/>
  </cols>
  <sheetData>
    <row r="1" spans="2:7" ht="15" thickBot="1" x14ac:dyDescent="0.35"/>
    <row r="2" spans="2:7" ht="15.6" x14ac:dyDescent="0.3">
      <c r="B2" s="200" t="s">
        <v>155</v>
      </c>
      <c r="C2" s="200"/>
      <c r="D2" s="70"/>
      <c r="E2" s="70"/>
      <c r="F2" s="70"/>
      <c r="G2" s="70"/>
    </row>
    <row r="3" spans="2:7" ht="15.6" collapsed="1" x14ac:dyDescent="0.3">
      <c r="B3" s="199"/>
      <c r="C3" s="199"/>
      <c r="D3" s="71" t="s">
        <v>157</v>
      </c>
      <c r="E3" s="71" t="s">
        <v>152</v>
      </c>
      <c r="F3" s="71" t="s">
        <v>153</v>
      </c>
      <c r="G3" s="71" t="s">
        <v>154</v>
      </c>
    </row>
    <row r="4" spans="2:7" ht="122.4" hidden="1" outlineLevel="1" x14ac:dyDescent="0.3">
      <c r="B4" s="201"/>
      <c r="C4" s="201"/>
      <c r="D4" s="65"/>
      <c r="E4" s="73" t="s">
        <v>214</v>
      </c>
      <c r="F4" s="73" t="s">
        <v>215</v>
      </c>
      <c r="G4" s="73" t="s">
        <v>214</v>
      </c>
    </row>
    <row r="5" spans="2:7" x14ac:dyDescent="0.3">
      <c r="B5" s="202" t="s">
        <v>156</v>
      </c>
      <c r="C5" s="202"/>
      <c r="D5" s="69"/>
      <c r="E5" s="69"/>
      <c r="F5" s="69"/>
      <c r="G5" s="69"/>
    </row>
    <row r="6" spans="2:7" outlineLevel="1" x14ac:dyDescent="0.3">
      <c r="B6" s="201"/>
      <c r="C6" s="201" t="s">
        <v>140</v>
      </c>
      <c r="D6" s="66">
        <v>0.45</v>
      </c>
      <c r="E6" s="72">
        <v>0.5</v>
      </c>
      <c r="F6" s="72">
        <v>0.45</v>
      </c>
      <c r="G6" s="72">
        <v>0.4</v>
      </c>
    </row>
    <row r="7" spans="2:7" outlineLevel="1" x14ac:dyDescent="0.3">
      <c r="B7" s="201"/>
      <c r="C7" s="201" t="s">
        <v>141</v>
      </c>
      <c r="D7" s="66">
        <v>0.2</v>
      </c>
      <c r="E7" s="72">
        <v>0.25</v>
      </c>
      <c r="F7" s="72">
        <v>0.2</v>
      </c>
      <c r="G7" s="72">
        <v>0.1</v>
      </c>
    </row>
    <row r="8" spans="2:7" outlineLevel="1" x14ac:dyDescent="0.3">
      <c r="B8" s="201"/>
      <c r="C8" s="201" t="s">
        <v>142</v>
      </c>
      <c r="D8" s="66">
        <v>0.35</v>
      </c>
      <c r="E8" s="72">
        <v>0.25</v>
      </c>
      <c r="F8" s="72">
        <v>0.35</v>
      </c>
      <c r="G8" s="72">
        <v>0.5</v>
      </c>
    </row>
    <row r="9" spans="2:7" x14ac:dyDescent="0.3">
      <c r="B9" s="202" t="s">
        <v>158</v>
      </c>
      <c r="C9" s="202"/>
      <c r="D9" s="69"/>
      <c r="E9" s="69"/>
      <c r="F9" s="69"/>
      <c r="G9" s="69"/>
    </row>
    <row r="10" spans="2:7" outlineLevel="1" x14ac:dyDescent="0.3">
      <c r="B10" s="201"/>
      <c r="C10" s="201" t="s">
        <v>143</v>
      </c>
      <c r="D10" s="67">
        <v>6386.25</v>
      </c>
      <c r="E10" s="67">
        <v>6387.5</v>
      </c>
      <c r="F10" s="67">
        <v>6386.25</v>
      </c>
      <c r="G10" s="67">
        <v>6355</v>
      </c>
    </row>
    <row r="11" spans="2:7" outlineLevel="1" x14ac:dyDescent="0.3">
      <c r="B11" s="201"/>
      <c r="C11" s="201" t="s">
        <v>144</v>
      </c>
      <c r="D11" s="67">
        <v>8368.9500000000007</v>
      </c>
      <c r="E11" s="67">
        <v>8215.9500000000007</v>
      </c>
      <c r="F11" s="67">
        <v>8368.9500000000007</v>
      </c>
      <c r="G11" s="67">
        <v>8580.7000000000007</v>
      </c>
    </row>
    <row r="12" spans="2:7" outlineLevel="1" x14ac:dyDescent="0.3">
      <c r="B12" s="201"/>
      <c r="C12" s="201" t="s">
        <v>145</v>
      </c>
      <c r="D12" s="67">
        <v>8133.55</v>
      </c>
      <c r="E12" s="67">
        <v>8184.8</v>
      </c>
      <c r="F12" s="67">
        <v>8133.55</v>
      </c>
      <c r="G12" s="67">
        <v>8117.8</v>
      </c>
    </row>
    <row r="13" spans="2:7" outlineLevel="1" x14ac:dyDescent="0.3">
      <c r="B13" s="201"/>
      <c r="C13" s="201" t="s">
        <v>146</v>
      </c>
      <c r="D13" s="67">
        <v>-118529</v>
      </c>
      <c r="E13" s="67">
        <v>-118158.75</v>
      </c>
      <c r="F13" s="67">
        <v>-118529</v>
      </c>
      <c r="G13" s="67">
        <v>-119021.5</v>
      </c>
    </row>
    <row r="14" spans="2:7" outlineLevel="1" x14ac:dyDescent="0.3">
      <c r="B14" s="201"/>
      <c r="C14" s="201" t="s">
        <v>147</v>
      </c>
      <c r="D14" s="67">
        <v>10447.15</v>
      </c>
      <c r="E14" s="67">
        <v>10847.65</v>
      </c>
      <c r="F14" s="67">
        <v>10447.15</v>
      </c>
      <c r="G14" s="67">
        <v>9920.9</v>
      </c>
    </row>
    <row r="15" spans="2:7" outlineLevel="1" x14ac:dyDescent="0.3">
      <c r="B15" s="201"/>
      <c r="C15" s="201" t="s">
        <v>148</v>
      </c>
      <c r="D15" s="67">
        <v>11763.5</v>
      </c>
      <c r="E15" s="67">
        <v>12000</v>
      </c>
      <c r="F15" s="67">
        <v>11763.5</v>
      </c>
      <c r="G15" s="67">
        <v>11378</v>
      </c>
    </row>
    <row r="16" spans="2:7" outlineLevel="1" x14ac:dyDescent="0.3">
      <c r="B16" s="201"/>
      <c r="C16" s="201" t="s">
        <v>149</v>
      </c>
      <c r="D16" s="67">
        <v>9950.1</v>
      </c>
      <c r="E16" s="67">
        <v>9698.1</v>
      </c>
      <c r="F16" s="67">
        <v>9950.1</v>
      </c>
      <c r="G16" s="67">
        <v>10263.6</v>
      </c>
    </row>
    <row r="17" spans="2:7" outlineLevel="1" x14ac:dyDescent="0.3">
      <c r="B17" s="201"/>
      <c r="C17" s="201" t="s">
        <v>150</v>
      </c>
      <c r="D17" s="67">
        <v>11763.5</v>
      </c>
      <c r="E17" s="67">
        <v>11692</v>
      </c>
      <c r="F17" s="67">
        <v>11763.5</v>
      </c>
      <c r="G17" s="67">
        <v>11964</v>
      </c>
    </row>
    <row r="18" spans="2:7" ht="15" outlineLevel="1" thickBot="1" x14ac:dyDescent="0.35">
      <c r="B18" s="203"/>
      <c r="C18" s="203" t="s">
        <v>151</v>
      </c>
      <c r="D18" s="68">
        <v>11811.9</v>
      </c>
      <c r="E18" s="68">
        <v>12263.9</v>
      </c>
      <c r="F18" s="68">
        <v>11811.9</v>
      </c>
      <c r="G18" s="68">
        <v>11173.4</v>
      </c>
    </row>
    <row r="19" spans="2:7" x14ac:dyDescent="0.3">
      <c r="B19" t="s">
        <v>159</v>
      </c>
    </row>
    <row r="20" spans="2:7" x14ac:dyDescent="0.3">
      <c r="B20" t="s">
        <v>160</v>
      </c>
    </row>
    <row r="21" spans="2:7" x14ac:dyDescent="0.3">
      <c r="B2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5:S7"/>
  <sheetViews>
    <sheetView workbookViewId="0"/>
  </sheetViews>
  <sheetFormatPr defaultRowHeight="14.4" x14ac:dyDescent="0.3"/>
  <cols>
    <col min="10" max="10" width="17.33203125" customWidth="1"/>
  </cols>
  <sheetData>
    <row r="5" spans="10:19" x14ac:dyDescent="0.3">
      <c r="K5" t="s">
        <v>162</v>
      </c>
      <c r="L5" t="s">
        <v>163</v>
      </c>
      <c r="M5" s="62" t="s">
        <v>164</v>
      </c>
      <c r="N5" s="62" t="s">
        <v>165</v>
      </c>
      <c r="O5" s="62" t="s">
        <v>166</v>
      </c>
      <c r="P5" s="62" t="s">
        <v>167</v>
      </c>
      <c r="Q5" s="62" t="s">
        <v>168</v>
      </c>
      <c r="R5" s="62" t="s">
        <v>169</v>
      </c>
      <c r="S5" s="62" t="s">
        <v>170</v>
      </c>
    </row>
    <row r="6" spans="10:19" x14ac:dyDescent="0.3">
      <c r="J6" t="s">
        <v>172</v>
      </c>
      <c r="K6" s="60">
        <f>-'Prob 2 - 25 Pts '!F52</f>
        <v>-1113.75</v>
      </c>
      <c r="L6" s="60">
        <f>-'Prob 2 - 25 Pts '!G52</f>
        <v>0</v>
      </c>
      <c r="M6" s="60">
        <f>-'Prob 2 - 25 Pts '!H52</f>
        <v>0</v>
      </c>
      <c r="N6" s="60">
        <f>-'Prob 2 - 25 Pts '!I52</f>
        <v>-103140.25</v>
      </c>
      <c r="O6" s="60">
        <f>-'Prob 2 - 25 Pts '!J52</f>
        <v>-92693.1</v>
      </c>
      <c r="P6" s="60">
        <f>-'Prob 2 - 25 Pts '!K52</f>
        <v>-80929.600000000006</v>
      </c>
      <c r="Q6" s="60">
        <f>-'Prob 2 - 25 Pts '!L52</f>
        <v>-70979.5</v>
      </c>
      <c r="R6" s="60">
        <f>-'Prob 2 - 25 Pts '!M52</f>
        <v>-59216</v>
      </c>
      <c r="S6" s="60">
        <f>-'Prob 2 - 25 Pts '!N52</f>
        <v>-47404.1</v>
      </c>
    </row>
    <row r="7" spans="10:19" x14ac:dyDescent="0.3">
      <c r="J7" t="s">
        <v>171</v>
      </c>
      <c r="K7" s="60">
        <f>'Prob 2 - 25 Pts '!F53</f>
        <v>0</v>
      </c>
      <c r="L7" s="60">
        <f>'Prob 2 - 25 Pts '!G53</f>
        <v>7255.1999999999971</v>
      </c>
      <c r="M7" s="60">
        <f>'Prob 2 - 25 Pts '!H53</f>
        <v>15388.75</v>
      </c>
      <c r="N7" s="60">
        <f>'Prob 2 - 25 Pts '!I53</f>
        <v>0</v>
      </c>
      <c r="O7" s="60">
        <f>'Prob 2 - 25 Pts '!J53</f>
        <v>0</v>
      </c>
      <c r="P7" s="60">
        <f>'Prob 2 - 25 Pts '!K53</f>
        <v>0</v>
      </c>
      <c r="Q7" s="60">
        <f>'Prob 2 - 25 Pts '!L53</f>
        <v>0</v>
      </c>
      <c r="R7" s="60">
        <f>'Prob 2 - 25 Pts '!M53</f>
        <v>0</v>
      </c>
      <c r="S7" s="60">
        <f>'Prob 2 - 25 Pts '!N53</f>
        <v>0</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28"/>
  <sheetViews>
    <sheetView workbookViewId="0"/>
  </sheetViews>
  <sheetFormatPr defaultColWidth="9.109375" defaultRowHeight="14.4" x14ac:dyDescent="0.3"/>
  <cols>
    <col min="1" max="1" width="9.109375" style="10"/>
    <col min="2" max="3" width="11.5546875" style="10" customWidth="1"/>
    <col min="4" max="4" width="13.6640625" style="10" customWidth="1"/>
    <col min="5" max="5" width="14.33203125" style="10" customWidth="1"/>
    <col min="6" max="16384" width="9.109375" style="10"/>
  </cols>
  <sheetData>
    <row r="3" spans="2:5" ht="86.25" customHeight="1" x14ac:dyDescent="0.3"/>
    <row r="5" spans="2:5" ht="15" thickBot="1" x14ac:dyDescent="0.35"/>
    <row r="6" spans="2:5" ht="52.5" customHeight="1" thickBot="1" x14ac:dyDescent="0.35">
      <c r="B6" s="118" t="s">
        <v>184</v>
      </c>
      <c r="C6" s="119" t="s">
        <v>190</v>
      </c>
      <c r="D6" s="119" t="s">
        <v>185</v>
      </c>
      <c r="E6" s="120" t="s">
        <v>186</v>
      </c>
    </row>
    <row r="7" spans="2:5" x14ac:dyDescent="0.3">
      <c r="B7" s="115">
        <v>2000</v>
      </c>
      <c r="C7" s="116">
        <v>9.44</v>
      </c>
      <c r="D7" s="117"/>
      <c r="E7" s="117"/>
    </row>
    <row r="8" spans="2:5" x14ac:dyDescent="0.3">
      <c r="B8" s="111">
        <v>2001</v>
      </c>
      <c r="C8" s="109">
        <v>9.85</v>
      </c>
      <c r="D8" s="110">
        <f>C8/C7-1</f>
        <v>4.3432203389830448E-2</v>
      </c>
      <c r="E8" s="112">
        <f>1+D8</f>
        <v>1.0434322033898304</v>
      </c>
    </row>
    <row r="9" spans="2:5" x14ac:dyDescent="0.3">
      <c r="B9" s="111">
        <v>2002</v>
      </c>
      <c r="C9" s="109">
        <v>10.25</v>
      </c>
      <c r="D9" s="110">
        <f t="shared" ref="D9:D19" si="0">C9/C8-1</f>
        <v>4.0609137055837685E-2</v>
      </c>
      <c r="E9" s="112">
        <f t="shared" ref="E9:E21" si="1">1+D9</f>
        <v>1.0406091370558377</v>
      </c>
    </row>
    <row r="10" spans="2:5" x14ac:dyDescent="0.3">
      <c r="B10" s="111">
        <v>2003</v>
      </c>
      <c r="C10" s="109">
        <v>8.5</v>
      </c>
      <c r="D10" s="110">
        <f t="shared" si="0"/>
        <v>-0.17073170731707321</v>
      </c>
      <c r="E10" s="112">
        <f t="shared" si="1"/>
        <v>0.82926829268292679</v>
      </c>
    </row>
    <row r="11" spans="2:5" x14ac:dyDescent="0.3">
      <c r="B11" s="111">
        <v>2004</v>
      </c>
      <c r="C11" s="109">
        <v>9.65</v>
      </c>
      <c r="D11" s="110">
        <f t="shared" si="0"/>
        <v>0.13529411764705879</v>
      </c>
      <c r="E11" s="112">
        <f t="shared" si="1"/>
        <v>1.1352941176470588</v>
      </c>
    </row>
    <row r="12" spans="2:5" x14ac:dyDescent="0.3">
      <c r="B12" s="111">
        <v>2005</v>
      </c>
      <c r="C12" s="109">
        <v>10.25</v>
      </c>
      <c r="D12" s="110">
        <f t="shared" si="0"/>
        <v>6.2176165803108807E-2</v>
      </c>
      <c r="E12" s="112">
        <f t="shared" si="1"/>
        <v>1.0621761658031088</v>
      </c>
    </row>
    <row r="13" spans="2:5" x14ac:dyDescent="0.3">
      <c r="B13" s="111">
        <v>2006</v>
      </c>
      <c r="C13" s="109">
        <v>11</v>
      </c>
      <c r="D13" s="110">
        <f t="shared" si="0"/>
        <v>7.3170731707317138E-2</v>
      </c>
      <c r="E13" s="112">
        <f t="shared" si="1"/>
        <v>1.0731707317073171</v>
      </c>
    </row>
    <row r="14" spans="2:5" x14ac:dyDescent="0.3">
      <c r="B14" s="111">
        <v>2007</v>
      </c>
      <c r="C14" s="109">
        <v>11.75</v>
      </c>
      <c r="D14" s="110">
        <f t="shared" si="0"/>
        <v>6.8181818181818121E-2</v>
      </c>
      <c r="E14" s="112">
        <f t="shared" si="1"/>
        <v>1.0681818181818181</v>
      </c>
    </row>
    <row r="15" spans="2:5" x14ac:dyDescent="0.3">
      <c r="B15" s="111">
        <v>2008</v>
      </c>
      <c r="C15" s="109">
        <v>10</v>
      </c>
      <c r="D15" s="110">
        <f t="shared" si="0"/>
        <v>-0.14893617021276595</v>
      </c>
      <c r="E15" s="112">
        <f t="shared" si="1"/>
        <v>0.85106382978723405</v>
      </c>
    </row>
    <row r="16" spans="2:5" x14ac:dyDescent="0.3">
      <c r="B16" s="111">
        <v>2009</v>
      </c>
      <c r="C16" s="109">
        <v>8.75</v>
      </c>
      <c r="D16" s="110">
        <f t="shared" si="0"/>
        <v>-0.125</v>
      </c>
      <c r="E16" s="112">
        <f t="shared" si="1"/>
        <v>0.875</v>
      </c>
    </row>
    <row r="17" spans="2:5" x14ac:dyDescent="0.3">
      <c r="B17" s="111">
        <v>2010</v>
      </c>
      <c r="C17" s="109">
        <v>9.85</v>
      </c>
      <c r="D17" s="110">
        <f t="shared" si="0"/>
        <v>0.12571428571428567</v>
      </c>
      <c r="E17" s="112">
        <f t="shared" si="1"/>
        <v>1.1257142857142857</v>
      </c>
    </row>
    <row r="18" spans="2:5" x14ac:dyDescent="0.3">
      <c r="B18" s="111">
        <v>2011</v>
      </c>
      <c r="C18" s="109">
        <v>10.75</v>
      </c>
      <c r="D18" s="110">
        <f t="shared" si="0"/>
        <v>9.137055837563457E-2</v>
      </c>
      <c r="E18" s="112">
        <f t="shared" si="1"/>
        <v>1.0913705583756346</v>
      </c>
    </row>
    <row r="19" spans="2:5" x14ac:dyDescent="0.3">
      <c r="B19" s="111">
        <v>2012</v>
      </c>
      <c r="C19" s="109">
        <v>11.8</v>
      </c>
      <c r="D19" s="110">
        <f t="shared" si="0"/>
        <v>9.7674418604651203E-2</v>
      </c>
      <c r="E19" s="112">
        <f t="shared" si="1"/>
        <v>1.0976744186046512</v>
      </c>
    </row>
    <row r="20" spans="2:5" s="191" customFormat="1" x14ac:dyDescent="0.3">
      <c r="B20" s="204">
        <v>2013</v>
      </c>
      <c r="C20" s="205">
        <v>12.9</v>
      </c>
      <c r="D20" s="110">
        <f t="shared" ref="D20:D21" si="2">C20/C19-1</f>
        <v>9.3220338983050821E-2</v>
      </c>
      <c r="E20" s="112">
        <f t="shared" ref="E20:E21" si="3">1+D20</f>
        <v>1.0932203389830508</v>
      </c>
    </row>
    <row r="21" spans="2:5" ht="15" thickBot="1" x14ac:dyDescent="0.35">
      <c r="B21" s="113">
        <v>2014</v>
      </c>
      <c r="C21" s="114">
        <v>13.5</v>
      </c>
      <c r="D21" s="110">
        <f t="shared" si="2"/>
        <v>4.6511627906976605E-2</v>
      </c>
      <c r="E21" s="112">
        <f t="shared" si="3"/>
        <v>1.0465116279069766</v>
      </c>
    </row>
    <row r="22" spans="2:5" x14ac:dyDescent="0.3">
      <c r="B22" s="121"/>
      <c r="C22" s="122"/>
      <c r="D22" s="122"/>
      <c r="E22" s="123"/>
    </row>
    <row r="23" spans="2:5" x14ac:dyDescent="0.3">
      <c r="B23" s="130" t="s">
        <v>187</v>
      </c>
      <c r="C23" s="124"/>
      <c r="D23" s="124"/>
      <c r="E23" s="125"/>
    </row>
    <row r="24" spans="2:5" ht="15" thickBot="1" x14ac:dyDescent="0.35">
      <c r="B24" s="126"/>
      <c r="C24" s="176"/>
      <c r="D24" s="176"/>
      <c r="E24" s="125"/>
    </row>
    <row r="25" spans="2:5" ht="15" thickBot="1" x14ac:dyDescent="0.35">
      <c r="B25" s="126"/>
      <c r="C25" s="131">
        <f>GEOMEAN(E8:E21)-1</f>
        <v>2.5881668776237543E-2</v>
      </c>
      <c r="D25" s="124" t="s">
        <v>188</v>
      </c>
      <c r="E25" s="125"/>
    </row>
    <row r="26" spans="2:5" ht="15" thickBot="1" x14ac:dyDescent="0.35">
      <c r="B26" s="126"/>
      <c r="C26" s="132"/>
      <c r="D26" s="124"/>
      <c r="E26" s="125"/>
    </row>
    <row r="27" spans="2:5" ht="15" thickBot="1" x14ac:dyDescent="0.35">
      <c r="B27" s="126"/>
      <c r="C27" s="131">
        <f>(PRODUCT(E8:E21)^(1/14))-1</f>
        <v>2.5881668776237543E-2</v>
      </c>
      <c r="D27" s="124" t="s">
        <v>189</v>
      </c>
      <c r="E27" s="125"/>
    </row>
    <row r="28" spans="2:5" ht="15" thickBot="1" x14ac:dyDescent="0.35">
      <c r="B28" s="127"/>
      <c r="C28" s="128"/>
      <c r="D28" s="128"/>
      <c r="E28" s="129"/>
    </row>
  </sheetData>
  <mergeCells count="1">
    <mergeCell ref="C24:D2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7"/>
  <sheetViews>
    <sheetView zoomScaleNormal="100" workbookViewId="0">
      <selection activeCell="G4" sqref="G4"/>
    </sheetView>
  </sheetViews>
  <sheetFormatPr defaultColWidth="9.109375" defaultRowHeight="14.4" x14ac:dyDescent="0.3"/>
  <cols>
    <col min="1" max="1" width="4.5546875" style="133" customWidth="1"/>
    <col min="2" max="2" width="35.6640625" style="133" customWidth="1"/>
    <col min="3" max="4" width="18.6640625" style="133" customWidth="1"/>
    <col min="5" max="16384" width="9.109375" style="133"/>
  </cols>
  <sheetData>
    <row r="1" spans="2:4" ht="48" customHeight="1" x14ac:dyDescent="0.3"/>
    <row r="10" spans="2:4" ht="15" thickBot="1" x14ac:dyDescent="0.35"/>
    <row r="11" spans="2:4" s="134" customFormat="1" ht="30" customHeight="1" x14ac:dyDescent="0.3">
      <c r="B11" s="177" t="s">
        <v>174</v>
      </c>
      <c r="C11" s="178"/>
      <c r="D11" s="179"/>
    </row>
    <row r="12" spans="2:4" s="134" customFormat="1" ht="30" customHeight="1" x14ac:dyDescent="0.3">
      <c r="B12" s="180" t="s">
        <v>175</v>
      </c>
      <c r="C12" s="181"/>
      <c r="D12" s="182"/>
    </row>
    <row r="13" spans="2:4" s="134" customFormat="1" ht="30" customHeight="1" thickBot="1" x14ac:dyDescent="0.35">
      <c r="B13" s="183" t="s">
        <v>216</v>
      </c>
      <c r="C13" s="184"/>
      <c r="D13" s="185"/>
    </row>
    <row r="14" spans="2:4" ht="50.1" customHeight="1" thickBot="1" x14ac:dyDescent="0.4">
      <c r="B14" s="135"/>
      <c r="C14" s="159" t="s">
        <v>203</v>
      </c>
      <c r="D14" s="160" t="s">
        <v>201</v>
      </c>
    </row>
    <row r="15" spans="2:4" ht="17.25" customHeight="1" x14ac:dyDescent="0.3">
      <c r="B15" s="136" t="s">
        <v>12</v>
      </c>
      <c r="C15" s="146">
        <v>3850000</v>
      </c>
      <c r="D15" s="137">
        <v>3432000</v>
      </c>
    </row>
    <row r="16" spans="2:4" ht="16.2" x14ac:dyDescent="0.45">
      <c r="B16" s="138" t="s">
        <v>176</v>
      </c>
      <c r="C16" s="76">
        <v>3250000</v>
      </c>
      <c r="D16" s="77">
        <v>2864000</v>
      </c>
    </row>
    <row r="17" spans="2:7" x14ac:dyDescent="0.3">
      <c r="B17" s="139" t="s">
        <v>14</v>
      </c>
      <c r="C17" s="147">
        <v>600000</v>
      </c>
      <c r="D17" s="140">
        <v>568000</v>
      </c>
    </row>
    <row r="18" spans="2:7" x14ac:dyDescent="0.3">
      <c r="B18" s="141" t="s">
        <v>2</v>
      </c>
      <c r="C18" s="75">
        <v>330300</v>
      </c>
      <c r="D18" s="74">
        <v>240000</v>
      </c>
    </row>
    <row r="19" spans="2:7" x14ac:dyDescent="0.3">
      <c r="B19" s="141" t="s">
        <v>3</v>
      </c>
      <c r="C19" s="75">
        <v>100000</v>
      </c>
      <c r="D19" s="74">
        <v>100000</v>
      </c>
    </row>
    <row r="20" spans="2:7" ht="16.2" x14ac:dyDescent="0.45">
      <c r="B20" s="138" t="s">
        <v>46</v>
      </c>
      <c r="C20" s="76">
        <v>20000</v>
      </c>
      <c r="D20" s="77">
        <v>18900</v>
      </c>
    </row>
    <row r="21" spans="2:7" x14ac:dyDescent="0.3">
      <c r="B21" s="139" t="s">
        <v>15</v>
      </c>
      <c r="C21" s="147">
        <v>149700</v>
      </c>
      <c r="D21" s="140">
        <v>209100</v>
      </c>
    </row>
    <row r="22" spans="2:7" ht="16.2" x14ac:dyDescent="0.45">
      <c r="B22" s="138" t="s">
        <v>5</v>
      </c>
      <c r="C22" s="76">
        <v>76000</v>
      </c>
      <c r="D22" s="77">
        <v>62500</v>
      </c>
    </row>
    <row r="23" spans="2:7" x14ac:dyDescent="0.3">
      <c r="B23" s="139" t="s">
        <v>16</v>
      </c>
      <c r="C23" s="147">
        <v>73700</v>
      </c>
      <c r="D23" s="140">
        <v>146600</v>
      </c>
      <c r="F23" s="60"/>
      <c r="G23" s="60"/>
    </row>
    <row r="24" spans="2:7" ht="16.2" x14ac:dyDescent="0.45">
      <c r="B24" s="138" t="s">
        <v>17</v>
      </c>
      <c r="C24" s="76">
        <v>29480</v>
      </c>
      <c r="D24" s="77">
        <v>58640</v>
      </c>
    </row>
    <row r="25" spans="2:7" ht="16.2" x14ac:dyDescent="0.45">
      <c r="B25" s="142" t="s">
        <v>18</v>
      </c>
      <c r="C25" s="148">
        <v>44220</v>
      </c>
      <c r="D25" s="143">
        <v>87960</v>
      </c>
    </row>
    <row r="26" spans="2:7" ht="6" customHeight="1" thickBot="1" x14ac:dyDescent="0.35">
      <c r="B26" s="144"/>
      <c r="C26" s="149"/>
      <c r="D26" s="145"/>
    </row>
    <row r="27" spans="2:7" ht="30" customHeight="1" thickBot="1" x14ac:dyDescent="0.35">
      <c r="B27" s="152" t="s">
        <v>191</v>
      </c>
      <c r="C27" s="150">
        <f>C17/C15</f>
        <v>0.15584415584415584</v>
      </c>
      <c r="D27" s="151">
        <f>D17/D15</f>
        <v>0.1655011655011655</v>
      </c>
    </row>
  </sheetData>
  <mergeCells count="3">
    <mergeCell ref="B11:D11"/>
    <mergeCell ref="B12:D12"/>
    <mergeCell ref="B13:D1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zoomScale="85" zoomScaleNormal="85" workbookViewId="0"/>
  </sheetViews>
  <sheetFormatPr defaultRowHeight="14.4" x14ac:dyDescent="0.3"/>
  <cols>
    <col min="1" max="2" width="3.88671875" customWidth="1"/>
    <col min="3" max="3" width="10.44140625" customWidth="1"/>
    <col min="4" max="4" width="2.88671875" customWidth="1"/>
    <col min="5" max="5" width="2.6640625" customWidth="1"/>
    <col min="6" max="6" width="6" style="91" customWidth="1"/>
  </cols>
  <sheetData>
    <row r="1" spans="2:17" s="99" customFormat="1" x14ac:dyDescent="0.3">
      <c r="F1" s="91"/>
    </row>
    <row r="2" spans="2:17" s="99" customFormat="1" ht="139.5" customHeight="1" x14ac:dyDescent="0.3">
      <c r="F2" s="91"/>
    </row>
    <row r="3" spans="2:17" ht="15" thickBot="1" x14ac:dyDescent="0.35">
      <c r="B3" s="1"/>
      <c r="C3" s="154"/>
      <c r="D3" s="1"/>
      <c r="E3" s="1"/>
      <c r="F3" s="155"/>
      <c r="G3" s="1"/>
      <c r="H3" s="1"/>
      <c r="I3" s="1"/>
      <c r="J3" s="1"/>
      <c r="K3" s="1"/>
      <c r="L3" s="1"/>
      <c r="M3" s="1"/>
      <c r="N3" s="1"/>
      <c r="O3" s="1"/>
      <c r="P3" s="1"/>
      <c r="Q3" s="1"/>
    </row>
    <row r="4" spans="2:17" ht="103.2" customHeight="1" thickBot="1" x14ac:dyDescent="0.35">
      <c r="B4" s="156"/>
      <c r="C4" s="157" t="s">
        <v>123</v>
      </c>
      <c r="D4" s="186" t="s">
        <v>127</v>
      </c>
      <c r="E4" s="186"/>
      <c r="F4" s="186"/>
      <c r="G4" s="186"/>
      <c r="H4" s="186"/>
      <c r="I4" s="186"/>
      <c r="J4" s="186"/>
      <c r="K4" s="186"/>
      <c r="L4" s="186"/>
      <c r="M4" s="186"/>
      <c r="N4" s="186"/>
      <c r="O4" s="156"/>
      <c r="P4" s="156"/>
      <c r="Q4" s="156"/>
    </row>
    <row r="5" spans="2:17" ht="15" thickBot="1" x14ac:dyDescent="0.35">
      <c r="C5" s="92"/>
      <c r="D5" s="92"/>
    </row>
    <row r="6" spans="2:17" ht="15" thickBot="1" x14ac:dyDescent="0.35">
      <c r="C6" s="97" t="s">
        <v>173</v>
      </c>
      <c r="D6" s="94" t="s">
        <v>217</v>
      </c>
    </row>
    <row r="7" spans="2:17" ht="8.4" customHeight="1" x14ac:dyDescent="0.3">
      <c r="C7" s="96"/>
      <c r="D7" s="94"/>
    </row>
    <row r="8" spans="2:17" s="99" customFormat="1" ht="14.25" customHeight="1" x14ac:dyDescent="0.3">
      <c r="C8" s="96"/>
      <c r="D8" s="93" t="s">
        <v>193</v>
      </c>
      <c r="F8" s="91"/>
    </row>
    <row r="9" spans="2:17" x14ac:dyDescent="0.3">
      <c r="C9" s="96"/>
      <c r="D9" s="93" t="s">
        <v>194</v>
      </c>
    </row>
    <row r="10" spans="2:17" x14ac:dyDescent="0.3">
      <c r="C10" s="96"/>
      <c r="D10" s="93" t="s">
        <v>195</v>
      </c>
    </row>
    <row r="11" spans="2:17" x14ac:dyDescent="0.3">
      <c r="C11" s="96"/>
      <c r="D11" s="93" t="s">
        <v>196</v>
      </c>
    </row>
    <row r="12" spans="2:17" x14ac:dyDescent="0.3">
      <c r="C12" s="96"/>
      <c r="D12" s="93" t="s">
        <v>122</v>
      </c>
    </row>
    <row r="13" spans="2:17" ht="15" thickBot="1" x14ac:dyDescent="0.35">
      <c r="C13" s="96"/>
      <c r="D13" s="92"/>
    </row>
    <row r="14" spans="2:17" ht="15" thickBot="1" x14ac:dyDescent="0.35">
      <c r="C14" s="97" t="s">
        <v>220</v>
      </c>
      <c r="D14" s="94" t="s">
        <v>178</v>
      </c>
    </row>
    <row r="15" spans="2:17" ht="9.6" customHeight="1" x14ac:dyDescent="0.3">
      <c r="C15" s="92"/>
      <c r="D15" s="94"/>
    </row>
    <row r="16" spans="2:17" x14ac:dyDescent="0.3">
      <c r="C16" s="92"/>
      <c r="D16" s="93" t="s">
        <v>218</v>
      </c>
    </row>
    <row r="17" spans="1:17" x14ac:dyDescent="0.3">
      <c r="C17" s="92"/>
      <c r="D17" s="93" t="s">
        <v>204</v>
      </c>
    </row>
    <row r="18" spans="1:17" x14ac:dyDescent="0.3">
      <c r="C18" s="92"/>
      <c r="D18" s="93" t="s">
        <v>219</v>
      </c>
    </row>
    <row r="19" spans="1:17" x14ac:dyDescent="0.3">
      <c r="C19" s="92"/>
      <c r="D19" s="93" t="s">
        <v>179</v>
      </c>
      <c r="E19" s="92"/>
    </row>
    <row r="20" spans="1:17" x14ac:dyDescent="0.3">
      <c r="C20" s="92"/>
      <c r="D20" s="93" t="s">
        <v>180</v>
      </c>
      <c r="E20" s="92"/>
    </row>
    <row r="21" spans="1:17" ht="15" thickBot="1" x14ac:dyDescent="0.35">
      <c r="C21" s="92"/>
      <c r="D21" s="93"/>
      <c r="E21" s="92"/>
    </row>
    <row r="22" spans="1:17" ht="15" thickBot="1" x14ac:dyDescent="0.35">
      <c r="C22" s="97" t="s">
        <v>205</v>
      </c>
      <c r="D22" s="206" t="s">
        <v>224</v>
      </c>
      <c r="E22" s="190"/>
      <c r="F22" s="197"/>
      <c r="G22" s="190"/>
    </row>
    <row r="23" spans="1:17" ht="9" customHeight="1" x14ac:dyDescent="0.3">
      <c r="C23" s="96"/>
      <c r="D23" s="195"/>
      <c r="E23" s="190"/>
      <c r="F23" s="197"/>
      <c r="G23" s="190"/>
    </row>
    <row r="24" spans="1:17" x14ac:dyDescent="0.3">
      <c r="C24" s="96"/>
      <c r="D24" s="194" t="s">
        <v>221</v>
      </c>
      <c r="E24" s="190"/>
      <c r="F24" s="197"/>
      <c r="G24" s="190"/>
    </row>
    <row r="25" spans="1:17" x14ac:dyDescent="0.3">
      <c r="C25" s="96"/>
      <c r="D25" s="194" t="s">
        <v>222</v>
      </c>
      <c r="E25" s="190"/>
      <c r="F25" s="197"/>
      <c r="G25" s="190"/>
    </row>
    <row r="26" spans="1:17" x14ac:dyDescent="0.3">
      <c r="C26" s="96"/>
      <c r="D26" s="194" t="s">
        <v>197</v>
      </c>
      <c r="E26" s="190"/>
      <c r="F26" s="197"/>
      <c r="G26" s="190"/>
    </row>
    <row r="27" spans="1:17" x14ac:dyDescent="0.3">
      <c r="C27" s="96"/>
      <c r="D27" s="194" t="s">
        <v>223</v>
      </c>
      <c r="E27" s="190"/>
      <c r="F27" s="197"/>
      <c r="G27" s="190"/>
    </row>
    <row r="28" spans="1:17" x14ac:dyDescent="0.3">
      <c r="C28" s="96"/>
      <c r="D28" s="194" t="s">
        <v>124</v>
      </c>
      <c r="E28" s="190"/>
      <c r="F28" s="197"/>
      <c r="G28" s="190"/>
    </row>
    <row r="29" spans="1:17" ht="15" thickBot="1" x14ac:dyDescent="0.35">
      <c r="A29" s="99"/>
      <c r="B29" s="1"/>
      <c r="C29" s="154"/>
      <c r="D29" s="158"/>
      <c r="E29" s="1"/>
      <c r="F29" s="155"/>
      <c r="G29" s="1"/>
      <c r="H29" s="1"/>
      <c r="I29" s="1"/>
      <c r="J29" s="1"/>
      <c r="K29" s="1"/>
      <c r="L29" s="1"/>
      <c r="M29" s="1"/>
      <c r="N29" s="1"/>
      <c r="O29" s="1"/>
      <c r="P29" s="1"/>
      <c r="Q29" s="1"/>
    </row>
    <row r="30" spans="1:17" ht="121.2" customHeight="1" thickBot="1" x14ac:dyDescent="0.35">
      <c r="B30" s="156"/>
      <c r="C30" s="157" t="s">
        <v>125</v>
      </c>
      <c r="D30" s="186" t="s">
        <v>128</v>
      </c>
      <c r="E30" s="186"/>
      <c r="F30" s="186"/>
      <c r="G30" s="186"/>
      <c r="H30" s="186"/>
      <c r="I30" s="186"/>
      <c r="J30" s="186"/>
      <c r="K30" s="186"/>
      <c r="L30" s="186"/>
      <c r="M30" s="186"/>
      <c r="N30" s="186"/>
      <c r="O30" s="156"/>
      <c r="P30" s="156"/>
      <c r="Q30" s="156"/>
    </row>
    <row r="31" spans="1:17" ht="15" thickBot="1" x14ac:dyDescent="0.35">
      <c r="C31" s="92"/>
      <c r="D31" s="92"/>
      <c r="E31" s="92"/>
    </row>
    <row r="32" spans="1:17" ht="15" thickBot="1" x14ac:dyDescent="0.35">
      <c r="C32" s="196" t="b">
        <v>1</v>
      </c>
      <c r="D32" s="92" t="s">
        <v>225</v>
      </c>
      <c r="E32" s="92"/>
    </row>
    <row r="33" spans="3:5" ht="15" thickBot="1" x14ac:dyDescent="0.35">
      <c r="C33" s="92"/>
      <c r="D33" s="92"/>
      <c r="E33" s="92"/>
    </row>
    <row r="34" spans="3:5" ht="15" thickBot="1" x14ac:dyDescent="0.35">
      <c r="C34" s="97" t="b">
        <v>0</v>
      </c>
      <c r="D34" s="92" t="s">
        <v>226</v>
      </c>
      <c r="E34" s="92"/>
    </row>
    <row r="35" spans="3:5" x14ac:dyDescent="0.3">
      <c r="C35" s="96"/>
      <c r="D35" s="92" t="s">
        <v>227</v>
      </c>
      <c r="E35" s="92"/>
    </row>
    <row r="36" spans="3:5" ht="15" thickBot="1" x14ac:dyDescent="0.35">
      <c r="C36" s="92"/>
      <c r="D36" s="92"/>
      <c r="E36" s="92"/>
    </row>
    <row r="37" spans="3:5" ht="15" thickBot="1" x14ac:dyDescent="0.35">
      <c r="C37" s="97" t="b">
        <v>0</v>
      </c>
      <c r="D37" s="92" t="s">
        <v>228</v>
      </c>
      <c r="E37" s="92"/>
    </row>
    <row r="38" spans="3:5" ht="15" thickBot="1" x14ac:dyDescent="0.35">
      <c r="C38" s="96"/>
      <c r="D38" s="92"/>
      <c r="E38" s="92"/>
    </row>
    <row r="39" spans="3:5" ht="15" thickBot="1" x14ac:dyDescent="0.35">
      <c r="C39" s="97" t="b">
        <v>1</v>
      </c>
      <c r="D39" s="92" t="s">
        <v>229</v>
      </c>
      <c r="E39" s="92"/>
    </row>
    <row r="40" spans="3:5" x14ac:dyDescent="0.3">
      <c r="C40" s="92"/>
      <c r="D40" s="92" t="s">
        <v>181</v>
      </c>
      <c r="E40" s="92"/>
    </row>
    <row r="41" spans="3:5" ht="15" thickBot="1" x14ac:dyDescent="0.35">
      <c r="C41" s="96"/>
      <c r="D41" s="92"/>
      <c r="E41" s="92"/>
    </row>
    <row r="42" spans="3:5" ht="15" thickBot="1" x14ac:dyDescent="0.35">
      <c r="C42" s="97" t="b">
        <v>1</v>
      </c>
      <c r="D42" s="92" t="s">
        <v>230</v>
      </c>
      <c r="E42" s="92"/>
    </row>
    <row r="43" spans="3:5" x14ac:dyDescent="0.3">
      <c r="C43" s="92"/>
      <c r="D43" s="92" t="s">
        <v>126</v>
      </c>
      <c r="E43" s="92"/>
    </row>
    <row r="44" spans="3:5" ht="15" thickBot="1" x14ac:dyDescent="0.35">
      <c r="C44" s="96"/>
      <c r="D44" s="92"/>
      <c r="E44" s="92"/>
    </row>
    <row r="45" spans="3:5" ht="15" thickBot="1" x14ac:dyDescent="0.35">
      <c r="C45" s="97" t="b">
        <v>0</v>
      </c>
      <c r="D45" s="92" t="s">
        <v>231</v>
      </c>
      <c r="E45" s="92"/>
    </row>
    <row r="46" spans="3:5" ht="15" thickBot="1" x14ac:dyDescent="0.35">
      <c r="C46" s="96"/>
      <c r="D46" s="92"/>
      <c r="E46" s="92"/>
    </row>
    <row r="47" spans="3:5" ht="15" thickBot="1" x14ac:dyDescent="0.35">
      <c r="C47" s="97" t="b">
        <v>0</v>
      </c>
      <c r="D47" s="92" t="s">
        <v>232</v>
      </c>
      <c r="E47" s="92"/>
    </row>
    <row r="48" spans="3:5" ht="15" thickBot="1" x14ac:dyDescent="0.35">
      <c r="C48" s="92"/>
      <c r="D48" s="92"/>
      <c r="E48" s="92"/>
    </row>
    <row r="49" spans="2:17" ht="15" thickBot="1" x14ac:dyDescent="0.35">
      <c r="C49" s="97" t="b">
        <v>0</v>
      </c>
      <c r="D49" s="92" t="s">
        <v>182</v>
      </c>
      <c r="E49" s="92"/>
    </row>
    <row r="50" spans="2:17" ht="15" thickBot="1" x14ac:dyDescent="0.35">
      <c r="C50" s="92"/>
      <c r="D50" s="92"/>
      <c r="E50" s="92"/>
    </row>
    <row r="51" spans="2:17" ht="15" thickBot="1" x14ac:dyDescent="0.35">
      <c r="B51" s="92"/>
      <c r="C51" s="97" t="b">
        <v>0</v>
      </c>
      <c r="D51" s="95" t="s">
        <v>233</v>
      </c>
      <c r="E51" s="92"/>
    </row>
    <row r="52" spans="2:17" x14ac:dyDescent="0.3">
      <c r="B52" s="92"/>
      <c r="C52" s="92"/>
      <c r="D52" s="92" t="s">
        <v>129</v>
      </c>
      <c r="E52" s="92"/>
    </row>
    <row r="53" spans="2:17" ht="15" thickBot="1" x14ac:dyDescent="0.35"/>
    <row r="54" spans="2:17" s="99" customFormat="1" ht="15" thickBot="1" x14ac:dyDescent="0.35">
      <c r="C54" s="153" t="b">
        <v>1</v>
      </c>
      <c r="D54" s="99" t="s">
        <v>198</v>
      </c>
      <c r="E54" s="96"/>
    </row>
    <row r="55" spans="2:17" s="99" customFormat="1" x14ac:dyDescent="0.3">
      <c r="D55" s="99" t="s">
        <v>192</v>
      </c>
      <c r="E55" s="96"/>
    </row>
    <row r="56" spans="2:17" s="99" customFormat="1" ht="15" thickBot="1" x14ac:dyDescent="0.35">
      <c r="F56" s="91"/>
    </row>
    <row r="57" spans="2:17" s="99" customFormat="1" ht="15" thickBot="1" x14ac:dyDescent="0.35">
      <c r="C57" s="153" t="b">
        <v>0</v>
      </c>
      <c r="D57" s="95" t="s">
        <v>235</v>
      </c>
      <c r="E57" s="96"/>
    </row>
    <row r="58" spans="2:17" s="99" customFormat="1" x14ac:dyDescent="0.3">
      <c r="D58" s="99" t="s">
        <v>234</v>
      </c>
      <c r="E58" s="96"/>
    </row>
    <row r="59" spans="2:17" ht="15" thickBot="1" x14ac:dyDescent="0.35"/>
    <row r="60" spans="2:17" s="99" customFormat="1" ht="15" thickBot="1" x14ac:dyDescent="0.35">
      <c r="C60" s="153" t="b">
        <v>1</v>
      </c>
      <c r="D60" s="95" t="s">
        <v>199</v>
      </c>
      <c r="E60" s="96"/>
    </row>
    <row r="61" spans="2:17" s="99" customFormat="1" x14ac:dyDescent="0.3">
      <c r="D61" s="99" t="s">
        <v>200</v>
      </c>
      <c r="E61" s="96"/>
    </row>
    <row r="62" spans="2:17" ht="15" thickBot="1" x14ac:dyDescent="0.35">
      <c r="B62" s="1"/>
      <c r="C62" s="1"/>
      <c r="D62" s="1"/>
      <c r="E62" s="1"/>
      <c r="F62" s="155"/>
      <c r="G62" s="1"/>
      <c r="H62" s="1"/>
      <c r="I62" s="1"/>
      <c r="J62" s="1"/>
      <c r="K62" s="1"/>
      <c r="L62" s="1"/>
      <c r="M62" s="1"/>
      <c r="N62" s="1"/>
      <c r="O62" s="1"/>
      <c r="P62" s="1"/>
      <c r="Q62" s="1"/>
    </row>
  </sheetData>
  <mergeCells count="2">
    <mergeCell ref="D4:N4"/>
    <mergeCell ref="D30:N3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8"/>
  <sheetViews>
    <sheetView topLeftCell="A2" workbookViewId="0">
      <selection activeCell="L25" sqref="L25"/>
    </sheetView>
  </sheetViews>
  <sheetFormatPr defaultRowHeight="14.4" x14ac:dyDescent="0.3"/>
  <sheetData>
    <row r="2" spans="2:3" ht="21" x14ac:dyDescent="0.4">
      <c r="B2" s="103" t="s">
        <v>183</v>
      </c>
      <c r="C2" s="99"/>
    </row>
    <row r="3" spans="2:3" ht="15" thickBot="1" x14ac:dyDescent="0.35">
      <c r="B3" s="99"/>
      <c r="C3" s="99"/>
    </row>
    <row r="4" spans="2:3" x14ac:dyDescent="0.3">
      <c r="B4" s="104">
        <v>1</v>
      </c>
      <c r="C4" s="100" t="str">
        <f>'MC-TF - 20 Pts'!C6</f>
        <v>C</v>
      </c>
    </row>
    <row r="5" spans="2:3" x14ac:dyDescent="0.3">
      <c r="B5" s="105">
        <v>2</v>
      </c>
      <c r="C5" s="101" t="str">
        <f>'MC-TF - 20 Pts'!C14</f>
        <v>A</v>
      </c>
    </row>
    <row r="6" spans="2:3" ht="15" thickBot="1" x14ac:dyDescent="0.35">
      <c r="B6" s="106">
        <v>3</v>
      </c>
      <c r="C6" s="102" t="str">
        <f>'MC-TF - 20 Pts'!C22</f>
        <v>B</v>
      </c>
    </row>
    <row r="7" spans="2:3" x14ac:dyDescent="0.3">
      <c r="B7" s="108">
        <v>4</v>
      </c>
      <c r="C7" s="107" t="b">
        <f>'MC-TF - 20 Pts'!C32</f>
        <v>1</v>
      </c>
    </row>
    <row r="8" spans="2:3" x14ac:dyDescent="0.3">
      <c r="B8" s="105">
        <v>5</v>
      </c>
      <c r="C8" s="107" t="b">
        <f>'MC-TF - 20 Pts'!C34</f>
        <v>0</v>
      </c>
    </row>
    <row r="9" spans="2:3" x14ac:dyDescent="0.3">
      <c r="B9" s="105">
        <v>6</v>
      </c>
      <c r="C9" s="107" t="b">
        <f>'MC-TF - 20 Pts'!C37</f>
        <v>0</v>
      </c>
    </row>
    <row r="10" spans="2:3" x14ac:dyDescent="0.3">
      <c r="B10" s="105">
        <v>7</v>
      </c>
      <c r="C10" s="101" t="b">
        <f>'MC-TF - 20 Pts'!C39</f>
        <v>1</v>
      </c>
    </row>
    <row r="11" spans="2:3" x14ac:dyDescent="0.3">
      <c r="B11" s="105">
        <v>8</v>
      </c>
      <c r="C11" s="101" t="b">
        <f>'MC-TF - 20 Pts'!C42</f>
        <v>1</v>
      </c>
    </row>
    <row r="12" spans="2:3" x14ac:dyDescent="0.3">
      <c r="B12" s="105">
        <v>9</v>
      </c>
      <c r="C12" s="101" t="b">
        <f>'MC-TF - 20 Pts'!C45</f>
        <v>0</v>
      </c>
    </row>
    <row r="13" spans="2:3" x14ac:dyDescent="0.3">
      <c r="B13" s="105">
        <v>10</v>
      </c>
      <c r="C13" s="101" t="b">
        <f>'MC-TF - 20 Pts'!C47</f>
        <v>0</v>
      </c>
    </row>
    <row r="14" spans="2:3" x14ac:dyDescent="0.3">
      <c r="B14" s="105">
        <v>11</v>
      </c>
      <c r="C14" s="101" t="b">
        <f>'MC-TF - 20 Pts'!C49</f>
        <v>0</v>
      </c>
    </row>
    <row r="15" spans="2:3" x14ac:dyDescent="0.3">
      <c r="B15" s="105">
        <v>12</v>
      </c>
      <c r="C15" s="101" t="b">
        <f>'MC-TF - 20 Pts'!C51</f>
        <v>0</v>
      </c>
    </row>
    <row r="16" spans="2:3" x14ac:dyDescent="0.3">
      <c r="B16" s="105">
        <v>13</v>
      </c>
      <c r="C16" s="101" t="b">
        <f>'MC-TF - 20 Pts'!C54</f>
        <v>1</v>
      </c>
    </row>
    <row r="17" spans="2:3" x14ac:dyDescent="0.3">
      <c r="B17" s="105">
        <v>14</v>
      </c>
      <c r="C17" s="101" t="b">
        <f>'MC-TF - 20 Pts'!C57</f>
        <v>0</v>
      </c>
    </row>
    <row r="18" spans="2:3" ht="15" thickBot="1" x14ac:dyDescent="0.35">
      <c r="B18" s="106">
        <v>15</v>
      </c>
      <c r="C18" s="98" t="b">
        <f>'MC-TF - 20 Pts'!C60</f>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INSTRUCTIONS</vt:lpstr>
      <vt:lpstr>Prob 1 - 25 Pts</vt:lpstr>
      <vt:lpstr>Prob 2 - 25 Pts </vt:lpstr>
      <vt:lpstr>Scenario Summary</vt:lpstr>
      <vt:lpstr>Prob 3 - 10 Pts</vt:lpstr>
      <vt:lpstr>Prob 4 - 10 - Pts</vt:lpstr>
      <vt:lpstr>Prob 5 - 10 Pts</vt:lpstr>
      <vt:lpstr>MC-TF - 20 Pts</vt:lpstr>
      <vt:lpstr>Sheet3</vt:lpstr>
      <vt:lpstr>Collect0</vt:lpstr>
      <vt:lpstr>Collect1</vt:lpstr>
      <vt:lpstr>Collect2</vt:lpstr>
      <vt:lpstr>NCF</vt:lpstr>
      <vt:lpstr>'Prob 1 - 25 Pts'!Print_Area</vt:lpstr>
      <vt:lpstr>'Prob 2 - 25 Pts '!Print_Area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 Hawley</cp:lastModifiedBy>
  <cp:lastPrinted>2013-09-30T20:33:28Z</cp:lastPrinted>
  <dcterms:created xsi:type="dcterms:W3CDTF">2010-01-07T16:00:30Z</dcterms:created>
  <dcterms:modified xsi:type="dcterms:W3CDTF">2015-02-17T01:29:25Z</dcterms:modified>
</cp:coreProperties>
</file>