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wley\Dropbox\Class\Spring 2016\Exam 1\"/>
    </mc:Choice>
  </mc:AlternateContent>
  <bookViews>
    <workbookView xWindow="6345" yWindow="645" windowWidth="20115" windowHeight="7935" tabRatio="887"/>
  </bookViews>
  <sheets>
    <sheet name="INSTRUCTIONS" sheetId="8" r:id="rId1"/>
    <sheet name="Prob 1 - 30 Pts" sheetId="1" r:id="rId2"/>
    <sheet name="Prob 2 - 30 Pts " sheetId="6" r:id="rId3"/>
    <sheet name="Scenario Summary" sheetId="28" r:id="rId4"/>
    <sheet name="Prob 3 - 8 Pts" sheetId="7" r:id="rId5"/>
    <sheet name="Prob 4 - 6 Pts" sheetId="21" r:id="rId6"/>
    <sheet name="Prob 5 - 6 Pts" sheetId="22" r:id="rId7"/>
    <sheet name="MC-TF 20 Pts" sheetId="26" r:id="rId8"/>
    <sheet name="Sheet3" sheetId="19" r:id="rId9"/>
  </sheets>
  <definedNames>
    <definedName name="Collect0">'Prob 2 - 30 Pts '!$F$22</definedName>
    <definedName name="Collect1">'Prob 2 - 30 Pts '!$F$23</definedName>
    <definedName name="Collect2">'Prob 2 - 30 Pts '!$F$24</definedName>
    <definedName name="NCF">'Prob 2 - 30 Pts '!$F$43:$N$43</definedName>
    <definedName name="_xlnm.Print_Area" localSheetId="1">'Prob 1 - 30 Pts'!$B$17:$G$67</definedName>
    <definedName name="_xlnm.Print_Area" localSheetId="2">'Prob 2 - 30 Pts '!$B$20:$N$55</definedName>
  </definedNames>
  <calcPr calcId="152511"/>
</workbook>
</file>

<file path=xl/calcChain.xml><?xml version="1.0" encoding="utf-8"?>
<calcChain xmlns="http://schemas.openxmlformats.org/spreadsheetml/2006/main">
  <c r="C18" i="19" l="1"/>
  <c r="C17" i="19"/>
  <c r="C16" i="19"/>
  <c r="C15" i="19"/>
  <c r="C14" i="19"/>
  <c r="C13" i="19"/>
  <c r="C12" i="19"/>
  <c r="C11" i="19"/>
  <c r="C10" i="19"/>
  <c r="C9" i="19"/>
  <c r="C8" i="19"/>
  <c r="C7" i="19"/>
  <c r="C6" i="19"/>
  <c r="C5" i="19"/>
  <c r="C4" i="19"/>
  <c r="D91" i="1" l="1"/>
  <c r="D75" i="1"/>
  <c r="E52" i="1"/>
  <c r="D20" i="21" l="1"/>
  <c r="E20" i="21" s="1"/>
  <c r="D21" i="21"/>
  <c r="E21" i="21" s="1"/>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7" i="21" l="1"/>
  <c r="C25" i="2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85" i="1" s="1"/>
  <c r="D47" i="1"/>
  <c r="D46" i="1"/>
  <c r="D77" i="1" s="1"/>
  <c r="E66" i="1"/>
  <c r="E60" i="1"/>
  <c r="E62" i="1" s="1"/>
  <c r="E49" i="1"/>
  <c r="G30" i="1"/>
  <c r="G28" i="1"/>
  <c r="G27" i="1"/>
  <c r="G26" i="1"/>
  <c r="G24" i="1"/>
  <c r="G23" i="1"/>
  <c r="D30" i="1"/>
  <c r="D28" i="1"/>
  <c r="D27" i="1"/>
  <c r="D26" i="1"/>
  <c r="D23" i="1"/>
  <c r="D24" i="1" s="1"/>
  <c r="E25" i="1"/>
  <c r="G25" i="1" s="1"/>
  <c r="E67" i="1" l="1"/>
  <c r="G44" i="1" s="1"/>
  <c r="G46" i="6"/>
  <c r="H46" i="6" s="1"/>
  <c r="I46" i="6" s="1"/>
  <c r="J46" i="6" s="1"/>
  <c r="E54" i="1"/>
  <c r="F26" i="1"/>
  <c r="F23" i="1"/>
  <c r="F27" i="1"/>
  <c r="E29" i="1"/>
  <c r="F24" i="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l="1"/>
  <c r="G62" i="1"/>
  <c r="H42" i="6"/>
  <c r="H44" i="6" s="1"/>
  <c r="H45" i="6" s="1"/>
  <c r="I42" i="6"/>
  <c r="I44" i="6" s="1"/>
  <c r="I45" i="6" s="1"/>
  <c r="G45" i="6"/>
  <c r="G48" i="6" s="1"/>
  <c r="G52" i="6" s="1"/>
  <c r="L6" i="7" s="1"/>
  <c r="D25" i="1"/>
  <c r="F25" i="1" s="1"/>
  <c r="G66" i="1"/>
  <c r="G64" i="1"/>
  <c r="G60" i="1"/>
  <c r="G51" i="1"/>
  <c r="G65" i="1"/>
  <c r="G61" i="1"/>
  <c r="G57" i="1"/>
  <c r="G52" i="1"/>
  <c r="G48" i="1"/>
  <c r="G56" i="1"/>
  <c r="G47" i="1"/>
  <c r="G67" i="1"/>
  <c r="G63" i="1"/>
  <c r="G59" i="1"/>
  <c r="G50" i="1"/>
  <c r="G46" i="1"/>
  <c r="G58" i="1"/>
  <c r="G53" i="1"/>
  <c r="G45" i="1"/>
  <c r="E31" i="1"/>
  <c r="G32" i="1" s="1"/>
  <c r="G29" i="1"/>
  <c r="G49" i="1"/>
  <c r="G54" i="1"/>
  <c r="F53" i="6"/>
  <c r="K7" i="7" s="1"/>
  <c r="J44" i="6"/>
  <c r="J45" i="6" s="1"/>
  <c r="K46" i="6"/>
  <c r="K42" i="6"/>
  <c r="K44" i="6" s="1"/>
  <c r="K45" i="6" l="1"/>
  <c r="D29" i="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<sst xmlns="http://schemas.openxmlformats.org/spreadsheetml/2006/main" count="286" uniqueCount="237">
  <si>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</si>
  <si>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</si>
  <si>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</si>
  <si>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</si>
  <si>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</si>
  <si>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</si>
  <si>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</si>
  <si>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</si>
  <si>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</si>
  <si>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</si>
  <si>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</si>
  <si>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</si>
  <si>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</si>
  <si>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</si>
  <si>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</si>
  <si>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</si>
  <si>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</si>
  <si>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</si>
  <si>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</si>
  <si>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</si>
  <si>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</si>
  <si>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</si>
  <si>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</si>
  <si>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</si>
  <si>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</si>
  <si>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</si>
  <si>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</si>
  <si>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</si>
  <si>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</si>
  <si>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</si>
  <si>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</si>
  <si>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</si>
  <si>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</si>
  <si>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</si>
  <si>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</si>
  <si>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</si>
  <si>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</si>
  <si>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</si>
  <si>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</si>
  <si>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</si>
  <si>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</si>
  <si>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</si>
  <si>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</si>
  <si>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</si>
  <si>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</si>
  <si>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</si>
  <si>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</si>
  <si>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</si>
  <si>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</si>
  <si>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</si>
  <si>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</si>
  <si>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</si>
  <si>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</si>
  <si>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</si>
  <si>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</si>
  <si>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</si>
  <si>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</si>
  <si>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</si>
  <si>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</si>
  <si>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</si>
  <si>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</si>
  <si>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</si>
  <si>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</si>
  <si>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</si>
  <si>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</si>
  <si>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</si>
  <si>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</si>
  <si>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</si>
  <si>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</si>
  <si>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</si>
  <si>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</si>
  <si>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</si>
  <si>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</si>
  <si>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</si>
  <si>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</si>
  <si>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</si>
  <si>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</si>
  <si>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</si>
  <si>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</si>
  <si>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</si>
  <si>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</si>
  <si>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</si>
  <si>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</si>
  <si>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</si>
  <si>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</si>
  <si>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</si>
  <si>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</si>
  <si>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</si>
  <si>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</si>
  <si>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</si>
  <si>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</si>
  <si>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</si>
  <si>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</si>
  <si>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</si>
  <si>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</si>
  <si>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</si>
  <si>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</si>
  <si>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</si>
  <si>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</si>
  <si>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</si>
  <si>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</si>
  <si>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</si>
  <si>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</si>
  <si>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</si>
  <si>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</si>
  <si>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</si>
  <si>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</si>
  <si>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</si>
  <si>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</si>
  <si>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</si>
  <si>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</si>
  <si>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</si>
  <si>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</si>
  <si>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</si>
  <si>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</si>
  <si>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</si>
  <si>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</si>
  <si>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</si>
  <si>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</si>
  <si>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</si>
  <si>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</si>
  <si>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</si>
  <si>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</si>
  <si>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</si>
  <si>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</si>
  <si>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</si>
  <si>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</si>
  <si>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</si>
  <si>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</si>
  <si>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</si>
  <si>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</si>
  <si>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</si>
  <si>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</si>
  <si>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</si>
  <si>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</si>
  <si>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</si>
  <si>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</si>
  <si>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</si>
  <si>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</si>
  <si>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</si>
  <si>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</si>
  <si>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</si>
  <si>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</si>
  <si>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</si>
  <si>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</si>
  <si>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</si>
  <si>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</si>
  <si>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</si>
  <si>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</si>
  <si>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</si>
  <si>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</si>
  <si>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</si>
  <si>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</si>
  <si>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</si>
  <si>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</si>
  <si>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</si>
  <si>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</si>
  <si>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</si>
  <si>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</si>
  <si>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</si>
  <si>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</si>
  <si>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</si>
  <si>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</si>
  <si>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</si>
  <si>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</si>
  <si>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</si>
  <si>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</si>
  <si>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</si>
  <si>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</si>
  <si>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</si>
  <si>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</si>
  <si>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</si>
  <si>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</si>
  <si>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</si>
  <si>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</si>
  <si>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</si>
  <si>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</si>
  <si>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</si>
  <si>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</si>
  <si>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</si>
  <si>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</si>
  <si>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</si>
  <si>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</si>
  <si>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</si>
  <si>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</si>
  <si>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</si>
  <si>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</si>
  <si>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</si>
  <si>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</si>
  <si>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</si>
  <si>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</si>
  <si>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</si>
  <si>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</si>
  <si>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</si>
  <si>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</si>
  <si>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</si>
  <si>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</si>
  <si>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</si>
  <si>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t>B</t>
  </si>
  <si>
    <t>2014</t>
  </si>
  <si>
    <t>Created by Del on 9/22/2011
Modified by D Hawley on 9/22/2013
Modified by Del on 6/9/2014
Modified by Del Hawley on 2/16/2015</t>
  </si>
  <si>
    <t>Created by Del on 9/22/2011
Modified by Del on 6/9/2012
Modified by D Hawley on 9/22/2013
Modified by Del on 6/9/2014
Modified by Del Hawley on 2/16/2015</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</si>
  <si>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</si>
  <si>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Gross profit margin</t>
    </r>
  </si>
  <si>
    <t xml:space="preserve">  4. Visicalc was the first spreadsheet program ever to be marketed for personal computers.</t>
  </si>
  <si>
    <t>FY
2014</t>
  </si>
  <si>
    <r>
      <t>1.</t>
    </r>
    <r>
      <rPr>
        <sz val="7"/>
        <color theme="1"/>
        <rFont val="Times New Roman"/>
        <family val="1"/>
      </rPr>
      <t xml:space="preserve">       </t>
    </r>
    <r>
      <rPr>
        <sz val="11"/>
        <color theme="1"/>
        <rFont val="Calibri"/>
        <family val="2"/>
        <scheme val="minor"/>
      </rPr>
      <t>The balance sheet:</t>
    </r>
  </si>
  <si>
    <r>
      <t>a.</t>
    </r>
    <r>
      <rPr>
        <sz val="7"/>
        <color theme="1"/>
        <rFont val="Times New Roman"/>
        <family val="1"/>
      </rPr>
      <t xml:space="preserve">      </t>
    </r>
    <r>
      <rPr>
        <sz val="11"/>
        <color theme="1"/>
        <rFont val="Calibri"/>
        <family val="2"/>
        <scheme val="minor"/>
      </rPr>
      <t>Shows the change in a firm's actual value over a period of time.</t>
    </r>
  </si>
  <si>
    <t>D</t>
  </si>
  <si>
    <r>
      <t>b.</t>
    </r>
    <r>
      <rPr>
        <sz val="7"/>
        <color theme="1"/>
        <rFont val="Times New Roman"/>
        <family val="1"/>
      </rPr>
      <t xml:space="preserve">      </t>
    </r>
    <r>
      <rPr>
        <sz val="11"/>
        <color theme="1"/>
        <rFont val="Calibri"/>
        <family val="2"/>
        <scheme val="minor"/>
      </rPr>
      <t>An increase in Gross Fixed Assets on the balance sheet.</t>
    </r>
  </si>
  <si>
    <r>
      <t>c.</t>
    </r>
    <r>
      <rPr>
        <sz val="7"/>
        <color theme="1"/>
        <rFont val="Times New Roman"/>
        <family val="1"/>
      </rPr>
      <t xml:space="preserve">       </t>
    </r>
    <r>
      <rPr>
        <sz val="11"/>
        <color theme="1"/>
        <rFont val="Calibri"/>
        <family val="2"/>
        <scheme val="minor"/>
      </rPr>
      <t>An increase in Accounts Receivable on the balance sheet.</t>
    </r>
  </si>
  <si>
    <t>E</t>
  </si>
  <si>
    <r>
      <t>3.</t>
    </r>
    <r>
      <rPr>
        <sz val="7"/>
        <color theme="1"/>
        <rFont val="Times New Roman"/>
        <family val="1"/>
      </rPr>
      <t xml:space="preserve">       </t>
    </r>
    <r>
      <rPr>
        <sz val="11"/>
        <color theme="1"/>
        <rFont val="Calibri"/>
        <family val="2"/>
        <scheme val="minor"/>
      </rPr>
      <t>Which of the following cannot be found in the common size statements of a company?</t>
    </r>
  </si>
  <si>
    <r>
      <t>b.</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</si>
  <si>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Current Assets to Total Assets ratio</t>
    </r>
  </si>
  <si>
    <t xml:space="preserve">  5. The retained earnings entry on an income statement is the after-tax profit (net income) plus </t>
  </si>
  <si>
    <t xml:space="preserve">           cash dividends that were paid to shareholders in the period.</t>
  </si>
  <si>
    <t xml:space="preserve">  6. Retained earnings on the balance sheet represents past profits that have been reinvested in the company.</t>
  </si>
  <si>
    <t xml:space="preserve">  7. The income statement is an accurate representation of the increase in</t>
  </si>
  <si>
    <t xml:space="preserve">  8. A financial statement with each item expressed as a percentage of total assets is called</t>
  </si>
  <si>
    <t xml:space="preserve">  9. Depreciation for a period is represented as a use of cash (a cash outflow) on the statement of cash flows.</t>
  </si>
  <si>
    <t xml:space="preserve"> 10. Net Income is the same as cash flow to shareholders.</t>
  </si>
  <si>
    <t xml:space="preserve"> 11. In the Statement of Cash Flows, an increase in any current asset would be represented as a use of cash.</t>
  </si>
  <si>
    <t xml:space="preserve"> 12. The book values of assets as shown on the balance sheet are not meant to be accurate </t>
  </si>
  <si>
    <t xml:space="preserve"> 14. The retained earnings account on the balance sheet shows the company's cash reserve</t>
  </si>
  <si>
    <t xml:space="preserve">          for future investments.</t>
  </si>
  <si>
    <t>Inputs for 2015</t>
  </si>
  <si>
    <t>2014-2015</t>
  </si>
  <si>
    <t>Complete the 2014 and 2015 Income Statements and Balance Sheets using</t>
  </si>
  <si>
    <t xml:space="preserve">appropriately use the 2015 inputs. All computations should reflect any changes </t>
  </si>
  <si>
    <t>Create the common size income statements and balance sheets for 2014 and 2015</t>
  </si>
  <si>
    <t>2015</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</si>
  <si>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</si>
  <si>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2014.</t>
  </si>
  <si>
    <t>Created by Del on 9/22/2011
Modified by D Hawley on 9/22/2013
Modified by Del on 6/9/2014
Modified by Del Hawley on 2/16/2015
Modified by Hawley, Del on 2/22/2016</t>
  </si>
  <si>
    <t>For the Year Ended Dec. 31, 2015</t>
  </si>
  <si>
    <t>FY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</si>
</sst>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 numFmtId="172" formatCode="_(* #,##0.00000_);_(* \(#,##0.0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4">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6">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vertical="center"/>
    </xf>
    <xf numFmtId="0" fontId="3" fillId="0" borderId="26" xfId="0" applyFont="1" applyBorder="1" applyAlignment="1">
      <alignment horizontal="center" vertic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0" borderId="25" xfId="0" applyFont="1" applyBorder="1" applyAlignment="1">
      <alignment horizontal="center" vertical="center"/>
    </xf>
    <xf numFmtId="0" fontId="3" fillId="9" borderId="24"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7" xfId="0" applyNumberFormat="1" applyBorder="1"/>
    <xf numFmtId="0" fontId="0" fillId="0" borderId="24" xfId="0" applyNumberFormat="1" applyBorder="1" applyAlignment="1">
      <alignment horizontal="center"/>
    </xf>
    <xf numFmtId="44" fontId="0" fillId="0" borderId="28" xfId="0" applyNumberFormat="1" applyBorder="1"/>
    <xf numFmtId="44" fontId="0" fillId="10" borderId="28" xfId="0" applyNumberFormat="1" applyFill="1" applyBorder="1"/>
    <xf numFmtId="44" fontId="19" fillId="11" borderId="29" xfId="0" applyNumberFormat="1" applyFont="1" applyFill="1" applyBorder="1" applyAlignment="1">
      <alignment horizontal="center" vertical="center"/>
    </xf>
    <xf numFmtId="44" fontId="19" fillId="11" borderId="30" xfId="0" applyNumberFormat="1" applyFont="1" applyFill="1" applyBorder="1" applyAlignment="1">
      <alignment horizontal="center" vertical="center" wrapText="1"/>
    </xf>
    <xf numFmtId="44" fontId="19" fillId="11" borderId="31"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43" fontId="0" fillId="3" borderId="0" xfId="0" applyNumberFormat="1" applyFill="1" applyBorder="1"/>
    <xf numFmtId="44" fontId="0" fillId="0" borderId="0" xfId="0" applyNumberForma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2" xfId="0" applyNumberFormat="1" applyBorder="1" applyAlignment="1">
      <alignment horizontal="center"/>
    </xf>
    <xf numFmtId="44" fontId="0" fillId="0" borderId="33" xfId="0" applyNumberFormat="1" applyBorder="1"/>
    <xf numFmtId="0" fontId="0" fillId="0" borderId="0" xfId="0"/>
    <xf numFmtId="44" fontId="3" fillId="0" borderId="0" xfId="2" applyFont="1"/>
    <xf numFmtId="43" fontId="0" fillId="2" borderId="4" xfId="0" applyNumberFormat="1" applyFill="1" applyBorder="1"/>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41" fontId="0" fillId="2" borderId="3" xfId="0" applyNumberFormat="1" applyFill="1" applyBorder="1"/>
    <xf numFmtId="166" fontId="2" fillId="2" borderId="3" xfId="2" applyNumberFormat="1" applyFont="1" applyFill="1" applyBorder="1"/>
    <xf numFmtId="9" fontId="2" fillId="2" borderId="3" xfId="0" applyNumberFormat="1" applyFont="1" applyFill="1" applyBorder="1"/>
    <xf numFmtId="166" fontId="2" fillId="0" borderId="0" xfId="2" applyNumberFormat="1" applyFont="1"/>
    <xf numFmtId="166" fontId="1" fillId="0" borderId="0" xfId="2" applyNumberFormat="1" applyFont="1"/>
    <xf numFmtId="0" fontId="0" fillId="0" borderId="0" xfId="0"/>
    <xf numFmtId="0" fontId="0" fillId="0" borderId="1" xfId="0" applyBorder="1"/>
    <xf numFmtId="166" fontId="8" fillId="0" borderId="0" xfId="2" applyNumberFormat="1" applyFont="1"/>
    <xf numFmtId="0" fontId="0" fillId="0" borderId="0" xfId="0" applyAlignment="1">
      <alignment horizontal="center"/>
    </xf>
    <xf numFmtId="0" fontId="0" fillId="2" borderId="3" xfId="0" applyFill="1" applyBorder="1"/>
    <xf numFmtId="0" fontId="3" fillId="2" borderId="3" xfId="0" applyFont="1" applyFill="1" applyBorder="1" applyAlignment="1">
      <alignment horizontal="center"/>
    </xf>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22" fillId="5" borderId="14" xfId="0" applyFont="1" applyFill="1" applyBorder="1" applyAlignment="1">
      <alignment horizontal="left"/>
    </xf>
    <xf numFmtId="0" fontId="22" fillId="5" borderId="6" xfId="0" applyFont="1" applyFill="1" applyBorder="1" applyAlignment="1">
      <alignment horizontal="left"/>
    </xf>
    <xf numFmtId="0" fontId="23" fillId="6" borderId="0" xfId="0" applyFont="1" applyFill="1" applyBorder="1" applyAlignment="1">
      <alignment horizontal="left"/>
    </xf>
    <xf numFmtId="0" fontId="24" fillId="6" borderId="15" xfId="0" applyFont="1" applyFill="1" applyBorder="1" applyAlignment="1">
      <alignment horizontal="left"/>
    </xf>
    <xf numFmtId="0" fontId="23" fillId="6" borderId="1" xfId="0" applyFont="1" applyFill="1" applyBorder="1" applyAlignment="1">
      <alignment horizontal="left"/>
    </xf>
    <xf numFmtId="172" fontId="0" fillId="0" borderId="0" xfId="1" applyNumberFormat="1" applyFont="1"/>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layout/>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3 - 8 Pts'!$J$6</c:f>
              <c:strCache>
                <c:ptCount val="1"/>
                <c:pt idx="0">
                  <c:v>Short-Term Loans</c:v>
                </c:pt>
              </c:strCache>
            </c:strRef>
          </c:tx>
          <c:invertIfNegative val="0"/>
          <c:cat>
            <c:strRef>
              <c:f>'Prob 3 - 8 Pts'!$K$5:$S$5</c:f>
              <c:strCache>
                <c:ptCount val="9"/>
                <c:pt idx="0">
                  <c:v>APR</c:v>
                </c:pt>
                <c:pt idx="1">
                  <c:v>MAY</c:v>
                </c:pt>
                <c:pt idx="2">
                  <c:v>JUN</c:v>
                </c:pt>
                <c:pt idx="3">
                  <c:v>JUL</c:v>
                </c:pt>
                <c:pt idx="4">
                  <c:v>AUG</c:v>
                </c:pt>
                <c:pt idx="5">
                  <c:v>SEP</c:v>
                </c:pt>
                <c:pt idx="6">
                  <c:v>OCT</c:v>
                </c:pt>
                <c:pt idx="7">
                  <c:v>NOV</c:v>
                </c:pt>
                <c:pt idx="8">
                  <c:v>DEC</c:v>
                </c:pt>
              </c:strCache>
            </c:strRef>
          </c:cat>
          <c:val>
            <c:numRef>
              <c:f>'Prob 3 - 8 Pts'!$K$6:$S$6</c:f>
              <c:numCache>
                <c:formatCode>_(* #,##0_);_(* \(#,##0\);_(* "-"_);_(@_)</c:formatCode>
                <c:ptCount val="9"/>
                <c:pt idx="0">
                  <c:v>0</c:v>
                </c:pt>
                <c:pt idx="1">
                  <c:v>0</c:v>
                </c:pt>
                <c:pt idx="2">
                  <c:v>0</c:v>
                </c:pt>
                <c:pt idx="3">
                  <c:v>-59116.75</c:v>
                </c:pt>
                <c:pt idx="4">
                  <c:v>-49894.25</c:v>
                </c:pt>
                <c:pt idx="5">
                  <c:v>-40696.75</c:v>
                </c:pt>
                <c:pt idx="6">
                  <c:v>-33366.75</c:v>
                </c:pt>
                <c:pt idx="7">
                  <c:v>-25551.75</c:v>
                </c:pt>
                <c:pt idx="8">
                  <c:v>-16593</c:v>
                </c:pt>
              </c:numCache>
            </c:numRef>
          </c:val>
        </c:ser>
        <c:ser>
          <c:idx val="1"/>
          <c:order val="1"/>
          <c:tx>
            <c:strRef>
              <c:f>'Prob 3 - 8 Pts'!$J$7</c:f>
              <c:strCache>
                <c:ptCount val="1"/>
                <c:pt idx="0">
                  <c:v>Mkt'l Securities</c:v>
                </c:pt>
              </c:strCache>
            </c:strRef>
          </c:tx>
          <c:invertIfNegative val="0"/>
          <c:cat>
            <c:strRef>
              <c:f>'Prob 3 - 8 Pts'!$K$5:$S$5</c:f>
              <c:strCache>
                <c:ptCount val="9"/>
                <c:pt idx="0">
                  <c:v>APR</c:v>
                </c:pt>
                <c:pt idx="1">
                  <c:v>MAY</c:v>
                </c:pt>
                <c:pt idx="2">
                  <c:v>JUN</c:v>
                </c:pt>
                <c:pt idx="3">
                  <c:v>JUL</c:v>
                </c:pt>
                <c:pt idx="4">
                  <c:v>AUG</c:v>
                </c:pt>
                <c:pt idx="5">
                  <c:v>SEP</c:v>
                </c:pt>
                <c:pt idx="6">
                  <c:v>OCT</c:v>
                </c:pt>
                <c:pt idx="7">
                  <c:v>NOV</c:v>
                </c:pt>
                <c:pt idx="8">
                  <c:v>DEC</c:v>
                </c:pt>
              </c:strCache>
            </c:strRef>
          </c:cat>
          <c:val>
            <c:numRef>
              <c:f>'Prob 3 - 8 Pts'!$K$7:$S$7</c:f>
              <c:numCache>
                <c:formatCode>_(* #,##0_);_(* \(#,##0\);_(* "-"_);_(@_)</c:formatCode>
                <c:ptCount val="9"/>
                <c:pt idx="0">
                  <c:v>3147</c:v>
                </c:pt>
                <c:pt idx="1">
                  <c:v>10110.75</c:v>
                </c:pt>
                <c:pt idx="2">
                  <c:v>18082.25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950973008"/>
        <c:axId val="950977360"/>
      </c:barChart>
      <c:catAx>
        <c:axId val="950973008"/>
        <c:scaling>
          <c:orientation val="minMax"/>
        </c:scaling>
        <c:delete val="0"/>
        <c:axPos val="b"/>
        <c:numFmt formatCode="General" sourceLinked="0"/>
        <c:majorTickMark val="none"/>
        <c:minorTickMark val="none"/>
        <c:tickLblPos val="nextTo"/>
        <c:txPr>
          <a:bodyPr/>
          <a:lstStyle/>
          <a:p>
            <a:pPr>
              <a:defRPr b="1"/>
            </a:pPr>
            <a:endParaRPr lang="en-US"/>
          </a:p>
        </c:txPr>
        <c:crossAx val="950977360"/>
        <c:crosses val="autoZero"/>
        <c:auto val="1"/>
        <c:lblAlgn val="ctr"/>
        <c:lblOffset val="100"/>
        <c:noMultiLvlLbl val="0"/>
      </c:catAx>
      <c:valAx>
        <c:axId val="950977360"/>
        <c:scaling>
          <c:orientation val="minMax"/>
          <c:max val="60000"/>
          <c:min val="-60000"/>
        </c:scaling>
        <c:delete val="0"/>
        <c:axPos val="l"/>
        <c:majorGridlines/>
        <c:numFmt formatCode="&quot;$&quot;#,##0" sourceLinked="0"/>
        <c:majorTickMark val="none"/>
        <c:minorTickMark val="none"/>
        <c:tickLblPos val="nextTo"/>
        <c:txPr>
          <a:bodyPr/>
          <a:lstStyle/>
          <a:p>
            <a:pPr>
              <a:defRPr b="1"/>
            </a:pPr>
            <a:endParaRPr lang="en-US"/>
          </a:p>
        </c:txPr>
        <c:crossAx val="950973008"/>
        <c:crosses val="autoZero"/>
        <c:crossBetween val="between"/>
        <c:majorUnit val="20000"/>
        <c:minorUnit val="50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2015)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25%, and Collect2 = 25%, the NORMAL scenario will use the base case collection rates given here, and the BAD scenario will use Collect0 =  20%, Collect1 = 15%, and Collect2 =  65%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14</xdr:row>
      <xdr:rowOff>33131</xdr:rowOff>
    </xdr:to>
    <xdr:sp macro="" textlink="">
      <xdr:nvSpPr>
        <xdr:cNvPr id="2" name="TextBox 1"/>
        <xdr:cNvSpPr txBox="1"/>
      </xdr:nvSpPr>
      <xdr:spPr>
        <a:xfrm>
          <a:off x="393700" y="171450"/>
          <a:ext cx="5054600" cy="2459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it is self-explanatory and professional and appropriate in appearance. Include a legend for the two series that displays at the bottom of the chart.</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400" b="1" baseline="0">
              <a:solidFill>
                <a:schemeClr val="dk1"/>
              </a:solidFill>
              <a:effectLst/>
              <a:latin typeface="+mn-lt"/>
              <a:ea typeface="+mn-ea"/>
              <a:cs typeface="+mn-cs"/>
            </a:rPr>
            <a:t>NOTE: Your chart MUST AUTOMATICALLY UPDATE for changes in the inputs and results of Problem 2. </a:t>
          </a:r>
          <a:endParaRPr lang="en-US" sz="1400" b="1">
            <a:effectLst/>
          </a:endParaRPr>
        </a:p>
        <a:p>
          <a:endParaRPr lang="en-US" sz="1100"/>
        </a:p>
      </xdr:txBody>
    </xdr:sp>
    <xdr:clientData/>
  </xdr:twoCellAnchor>
  <xdr:twoCellAnchor>
    <xdr:from>
      <xdr:col>0</xdr:col>
      <xdr:colOff>215760</xdr:colOff>
      <xdr:row>15</xdr:row>
      <xdr:rowOff>18634</xdr:rowOff>
    </xdr:from>
    <xdr:to>
      <xdr:col>10</xdr:col>
      <xdr:colOff>72885</xdr:colOff>
      <xdr:row>37</xdr:row>
      <xdr:rowOff>59910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2001.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137272</xdr:rowOff>
    </xdr:from>
    <xdr:to>
      <xdr:col>4</xdr:col>
      <xdr:colOff>304801</xdr:colOff>
      <xdr:row>5</xdr:row>
      <xdr:rowOff>122705</xdr:rowOff>
    </xdr:to>
    <xdr:sp macro="" textlink="">
      <xdr:nvSpPr>
        <xdr:cNvPr id="2" name="Rounded Rectangle 1"/>
        <xdr:cNvSpPr/>
      </xdr:nvSpPr>
      <xdr:spPr>
        <a:xfrm>
          <a:off x="285751" y="137272"/>
          <a:ext cx="5498726"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77316</xdr:colOff>
      <xdr:row>7</xdr:row>
      <xdr:rowOff>78441</xdr:rowOff>
    </xdr:from>
    <xdr:to>
      <xdr:col>8</xdr:col>
      <xdr:colOff>493058</xdr:colOff>
      <xdr:row>13</xdr:row>
      <xdr:rowOff>44824</xdr:rowOff>
    </xdr:to>
    <xdr:sp macro="" textlink="">
      <xdr:nvSpPr>
        <xdr:cNvPr id="5" name="Right Arrow 4"/>
        <xdr:cNvSpPr/>
      </xdr:nvSpPr>
      <xdr:spPr>
        <a:xfrm flipH="1">
          <a:off x="4985492" y="1826559"/>
          <a:ext cx="2836213" cy="149038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25 characters</a:t>
          </a:r>
          <a:r>
            <a:rPr lang="en-US" sz="1100" baseline="0"/>
            <a:t> wide. Columns C and D are 18 characters wide.</a:t>
          </a:r>
        </a:p>
        <a:p>
          <a:pPr algn="l"/>
          <a:endParaRPr lang="en-US" sz="1100"/>
        </a:p>
      </xdr:txBody>
    </xdr:sp>
    <xdr:clientData/>
  </xdr:twoCellAnchor>
  <xdr:twoCellAnchor>
    <xdr:from>
      <xdr:col>4</xdr:col>
      <xdr:colOff>133348</xdr:colOff>
      <xdr:row>12</xdr:row>
      <xdr:rowOff>48745</xdr:rowOff>
    </xdr:from>
    <xdr:to>
      <xdr:col>8</xdr:col>
      <xdr:colOff>470646</xdr:colOff>
      <xdr:row>15</xdr:row>
      <xdr:rowOff>134470</xdr:rowOff>
    </xdr:to>
    <xdr:sp macro="" textlink="">
      <xdr:nvSpPr>
        <xdr:cNvPr id="8" name="Right Arrow 7"/>
        <xdr:cNvSpPr/>
      </xdr:nvSpPr>
      <xdr:spPr>
        <a:xfrm flipH="1">
          <a:off x="5041524" y="3007098"/>
          <a:ext cx="2757769" cy="1251137"/>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50 points high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30 pixels high with 14 pt. fonts</a:t>
          </a:r>
          <a:endParaRPr lang="en-US" sz="1100"/>
        </a:p>
      </xdr:txBody>
    </xdr:sp>
    <xdr:clientData/>
  </xdr:twoCellAnchor>
  <xdr:twoCellAnchor editAs="oneCell">
    <xdr:from>
      <xdr:col>9</xdr:col>
      <xdr:colOff>0</xdr:colOff>
      <xdr:row>7</xdr:row>
      <xdr:rowOff>0</xdr:rowOff>
    </xdr:from>
    <xdr:to>
      <xdr:col>22</xdr:col>
      <xdr:colOff>103771</xdr:colOff>
      <xdr:row>28</xdr:row>
      <xdr:rowOff>66008</xdr:rowOff>
    </xdr:to>
    <xdr:pic>
      <xdr:nvPicPr>
        <xdr:cNvPr id="4" name="Picture 3"/>
        <xdr:cNvPicPr>
          <a:picLocks noChangeAspect="1"/>
        </xdr:cNvPicPr>
      </xdr:nvPicPr>
      <xdr:blipFill>
        <a:blip xmlns:r="http://schemas.openxmlformats.org/officeDocument/2006/relationships" r:embed="rId1"/>
        <a:stretch>
          <a:fillRect/>
        </a:stretch>
      </xdr:blipFill>
      <xdr:spPr>
        <a:xfrm>
          <a:off x="8229600" y="1752600"/>
          <a:ext cx="8028571" cy="53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68406" y="205292"/>
          <a:ext cx="7849048" cy="17902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15" zoomScaleNormal="115" workbookViewId="0">
      <selection activeCell="D10" sqref="D10"/>
    </sheetView>
  </sheetViews>
  <sheetFormatPr defaultRowHeight="15" x14ac:dyDescent="0.25"/>
  <cols>
    <col min="1" max="1" width="3.140625" customWidth="1"/>
    <col min="2" max="2" width="4.5703125" customWidth="1"/>
  </cols>
  <sheetData>
    <row r="2" spans="2:2" ht="18.75" x14ac:dyDescent="0.3">
      <c r="B2" s="49" t="s">
        <v>111</v>
      </c>
    </row>
    <row r="3" spans="2:2" ht="18.75" x14ac:dyDescent="0.3">
      <c r="B3" s="49" t="s">
        <v>112</v>
      </c>
    </row>
    <row r="4" spans="2:2" ht="18.75" x14ac:dyDescent="0.3">
      <c r="B4" s="49" t="s">
        <v>113</v>
      </c>
    </row>
    <row r="5" spans="2:2" ht="11.1" customHeight="1" x14ac:dyDescent="0.3">
      <c r="B5" s="49"/>
    </row>
    <row r="6" spans="2:2" ht="18.75" x14ac:dyDescent="0.3">
      <c r="B6" s="49" t="s">
        <v>114</v>
      </c>
    </row>
    <row r="7" spans="2:2" ht="18.75" x14ac:dyDescent="0.3">
      <c r="B7" s="49" t="s">
        <v>130</v>
      </c>
    </row>
    <row r="8" spans="2:2" ht="11.1" customHeight="1" x14ac:dyDescent="0.3">
      <c r="B8" s="49"/>
    </row>
    <row r="9" spans="2:2" s="48" customFormat="1" ht="18.75" x14ac:dyDescent="0.3">
      <c r="B9" s="49" t="s">
        <v>117</v>
      </c>
    </row>
    <row r="10" spans="2:2" s="48" customFormat="1" ht="18.75" x14ac:dyDescent="0.3">
      <c r="B10" s="49" t="s">
        <v>118</v>
      </c>
    </row>
    <row r="11" spans="2:2" s="48" customFormat="1" ht="18.75" x14ac:dyDescent="0.3">
      <c r="B11" s="49" t="s">
        <v>119</v>
      </c>
    </row>
    <row r="12" spans="2:2" ht="14.1" customHeight="1" x14ac:dyDescent="0.3">
      <c r="B12" s="49"/>
    </row>
    <row r="13" spans="2:2" x14ac:dyDescent="0.25">
      <c r="B13" s="48" t="s">
        <v>131</v>
      </c>
    </row>
    <row r="14" spans="2:2" ht="8.4499999999999993" customHeight="1" x14ac:dyDescent="0.3">
      <c r="B14" s="49"/>
    </row>
    <row r="15" spans="2:2" x14ac:dyDescent="0.25">
      <c r="B15" s="48" t="s">
        <v>115</v>
      </c>
    </row>
    <row r="16" spans="2:2" ht="6" customHeight="1" x14ac:dyDescent="0.25">
      <c r="B16" s="48"/>
    </row>
    <row r="17" spans="2:3" x14ac:dyDescent="0.25">
      <c r="B17" s="48" t="s">
        <v>116</v>
      </c>
    </row>
    <row r="18" spans="2:3" x14ac:dyDescent="0.25">
      <c r="B18" s="48"/>
    </row>
    <row r="19" spans="2:3" s="50" customFormat="1" x14ac:dyDescent="0.25">
      <c r="B19" s="50" t="s">
        <v>132</v>
      </c>
    </row>
    <row r="20" spans="2:3" s="50" customFormat="1" x14ac:dyDescent="0.25">
      <c r="B20" s="50" t="s">
        <v>176</v>
      </c>
    </row>
    <row r="21" spans="2:3" s="50" customFormat="1" x14ac:dyDescent="0.25">
      <c r="B21" s="50" t="s">
        <v>133</v>
      </c>
    </row>
    <row r="22" spans="2:3" s="50" customFormat="1" x14ac:dyDescent="0.25"/>
    <row r="23" spans="2:3" s="50" customFormat="1" ht="18.75" x14ac:dyDescent="0.3">
      <c r="B23" s="51" t="s">
        <v>120</v>
      </c>
    </row>
    <row r="24" spans="2:3" s="48" customFormat="1" x14ac:dyDescent="0.25"/>
    <row r="25" spans="2:3" s="48" customFormat="1" ht="6.6" customHeight="1" x14ac:dyDescent="0.25"/>
    <row r="26" spans="2:3" s="48" customFormat="1" ht="18.75" x14ac:dyDescent="0.3">
      <c r="C26" s="51" t="s">
        <v>121</v>
      </c>
    </row>
    <row r="27" spans="2:3" s="48" customFormat="1" ht="18.75" x14ac:dyDescent="0.3">
      <c r="C27" s="51" t="s">
        <v>134</v>
      </c>
    </row>
    <row r="28" spans="2:3" s="48" customFormat="1" ht="18.75" x14ac:dyDescent="0.3">
      <c r="C28" s="51"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zoomScaleNormal="100" workbookViewId="0"/>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83" t="s">
        <v>226</v>
      </c>
      <c r="C2" s="183"/>
      <c r="D2" s="183"/>
      <c r="I2" s="73"/>
      <c r="J2" s="74"/>
      <c r="K2" s="75"/>
      <c r="L2" s="76"/>
    </row>
    <row r="3" spans="2:12" s="3" customFormat="1" ht="18.75" customHeight="1" x14ac:dyDescent="0.25">
      <c r="B3" s="4" t="s">
        <v>0</v>
      </c>
      <c r="C3" s="4"/>
      <c r="D3" s="160">
        <v>0.35</v>
      </c>
      <c r="I3" s="77"/>
      <c r="J3" s="78" t="s">
        <v>65</v>
      </c>
      <c r="K3" s="149" t="s">
        <v>228</v>
      </c>
      <c r="L3" s="80"/>
    </row>
    <row r="4" spans="2:12" s="3" customFormat="1" x14ac:dyDescent="0.25">
      <c r="B4" s="4" t="s">
        <v>1</v>
      </c>
      <c r="C4" s="4"/>
      <c r="D4" s="161">
        <v>625000</v>
      </c>
      <c r="I4" s="77"/>
      <c r="J4" s="81"/>
      <c r="K4" s="149" t="s">
        <v>66</v>
      </c>
      <c r="L4" s="80"/>
    </row>
    <row r="5" spans="2:12" s="3" customFormat="1" x14ac:dyDescent="0.25">
      <c r="B5" s="4" t="s">
        <v>12</v>
      </c>
      <c r="C5" s="4"/>
      <c r="D5" s="162">
        <v>3945500</v>
      </c>
      <c r="I5" s="77"/>
      <c r="J5" s="81"/>
      <c r="K5" s="149" t="s">
        <v>229</v>
      </c>
      <c r="L5" s="80"/>
    </row>
    <row r="6" spans="2:12" s="3" customFormat="1" x14ac:dyDescent="0.25">
      <c r="B6" s="4" t="s">
        <v>2</v>
      </c>
      <c r="C6" s="4"/>
      <c r="D6" s="162">
        <v>825000</v>
      </c>
      <c r="I6" s="77"/>
      <c r="J6" s="81"/>
      <c r="K6" s="149" t="s">
        <v>68</v>
      </c>
      <c r="L6" s="80"/>
    </row>
    <row r="7" spans="2:12" s="52" customFormat="1" x14ac:dyDescent="0.25">
      <c r="B7" s="4" t="s">
        <v>4</v>
      </c>
      <c r="C7" s="4"/>
      <c r="D7" s="162">
        <v>75000</v>
      </c>
      <c r="I7" s="77"/>
      <c r="J7" s="79"/>
      <c r="K7" s="149"/>
      <c r="L7" s="80"/>
    </row>
    <row r="8" spans="2:12" s="52" customFormat="1" x14ac:dyDescent="0.25">
      <c r="B8" s="4" t="s">
        <v>5</v>
      </c>
      <c r="C8" s="4"/>
      <c r="D8" s="162">
        <v>125000</v>
      </c>
      <c r="I8" s="77"/>
      <c r="J8" s="78" t="s">
        <v>67</v>
      </c>
      <c r="K8" s="149" t="s">
        <v>230</v>
      </c>
      <c r="L8" s="80"/>
    </row>
    <row r="9" spans="2:12" s="3" customFormat="1" x14ac:dyDescent="0.25">
      <c r="B9" s="4" t="s">
        <v>3</v>
      </c>
      <c r="C9" s="4"/>
      <c r="D9" s="162">
        <v>135000</v>
      </c>
      <c r="I9" s="77"/>
      <c r="J9" s="81"/>
      <c r="K9" s="149" t="s">
        <v>69</v>
      </c>
      <c r="L9" s="80"/>
    </row>
    <row r="10" spans="2:12" s="3" customFormat="1" x14ac:dyDescent="0.25">
      <c r="B10" s="4" t="s">
        <v>7</v>
      </c>
      <c r="C10" s="4"/>
      <c r="D10" s="162">
        <v>1645000</v>
      </c>
      <c r="I10" s="77"/>
      <c r="J10" s="81"/>
      <c r="K10" s="149"/>
      <c r="L10" s="80"/>
    </row>
    <row r="11" spans="2:12" s="3" customFormat="1" x14ac:dyDescent="0.25">
      <c r="B11" s="4" t="s">
        <v>8</v>
      </c>
      <c r="C11" s="4"/>
      <c r="D11" s="162">
        <v>950000</v>
      </c>
      <c r="I11" s="77"/>
      <c r="J11" s="78" t="s">
        <v>70</v>
      </c>
      <c r="K11" s="149" t="s">
        <v>71</v>
      </c>
      <c r="L11" s="80"/>
    </row>
    <row r="12" spans="2:12" s="3" customFormat="1" x14ac:dyDescent="0.25">
      <c r="B12" s="4" t="s">
        <v>9</v>
      </c>
      <c r="C12" s="4"/>
      <c r="D12" s="162">
        <v>750000</v>
      </c>
      <c r="I12" s="77"/>
      <c r="J12" s="81"/>
      <c r="K12" s="149" t="s">
        <v>72</v>
      </c>
      <c r="L12" s="80"/>
    </row>
    <row r="13" spans="2:12" s="3" customFormat="1" ht="15.75" thickBot="1" x14ac:dyDescent="0.3">
      <c r="B13" s="4" t="s">
        <v>6</v>
      </c>
      <c r="C13" s="4"/>
      <c r="D13" s="163">
        <v>0.45</v>
      </c>
      <c r="I13" s="82"/>
      <c r="J13" s="85"/>
      <c r="K13" s="84"/>
      <c r="L13" s="83"/>
    </row>
    <row r="14" spans="2:12" s="3" customFormat="1" ht="15.75" thickBot="1" x14ac:dyDescent="0.3">
      <c r="B14" s="6" t="s">
        <v>73</v>
      </c>
      <c r="C14" s="6"/>
      <c r="D14" s="164">
        <v>125000</v>
      </c>
      <c r="I14" s="46"/>
      <c r="J14" s="47"/>
      <c r="K14" s="46"/>
      <c r="L14" s="46"/>
    </row>
    <row r="15" spans="2:12" s="3" customFormat="1" ht="17.25" x14ac:dyDescent="0.4">
      <c r="B15" s="7" t="s">
        <v>232</v>
      </c>
      <c r="C15" s="7"/>
      <c r="D15" s="5"/>
      <c r="I15" s="46"/>
      <c r="J15" s="47"/>
      <c r="K15" s="46"/>
      <c r="L15" s="46"/>
    </row>
    <row r="16" spans="2:12" ht="15.75" thickBot="1" x14ac:dyDescent="0.3">
      <c r="B16" s="8" t="s">
        <v>233</v>
      </c>
      <c r="C16" s="8"/>
      <c r="D16" s="1"/>
      <c r="I16" s="46"/>
      <c r="J16" s="47"/>
      <c r="K16" s="46"/>
      <c r="L16" s="46"/>
    </row>
    <row r="17" spans="2:12" ht="15.75" thickBot="1" x14ac:dyDescent="0.3">
      <c r="B17" s="1"/>
      <c r="C17" s="1"/>
      <c r="D17" s="1"/>
      <c r="E17" s="1"/>
      <c r="F17" s="1"/>
      <c r="G17" s="1"/>
      <c r="I17" s="46"/>
      <c r="J17" s="47"/>
      <c r="K17" s="46"/>
      <c r="L17" s="46"/>
    </row>
    <row r="18" spans="2:12" ht="21" customHeight="1" x14ac:dyDescent="0.3">
      <c r="B18" s="184" t="s">
        <v>10</v>
      </c>
      <c r="C18" s="184"/>
      <c r="D18" s="184"/>
      <c r="E18" s="184"/>
      <c r="F18" s="184"/>
      <c r="G18" s="184"/>
      <c r="I18" s="46"/>
      <c r="J18" s="47"/>
      <c r="K18" s="46"/>
      <c r="L18" s="46"/>
    </row>
    <row r="19" spans="2:12" ht="21" customHeight="1" x14ac:dyDescent="0.3">
      <c r="B19" s="184" t="s">
        <v>227</v>
      </c>
      <c r="C19" s="184"/>
      <c r="D19" s="184"/>
      <c r="E19" s="184"/>
      <c r="F19" s="184"/>
      <c r="G19" s="184"/>
      <c r="I19" s="46"/>
      <c r="J19" s="47"/>
      <c r="K19" s="46"/>
      <c r="L19" s="46"/>
    </row>
    <row r="20" spans="2:12" ht="21" customHeight="1" thickBot="1" x14ac:dyDescent="0.35">
      <c r="B20" s="178" t="s">
        <v>11</v>
      </c>
      <c r="C20" s="178"/>
      <c r="D20" s="179"/>
      <c r="E20" s="179"/>
      <c r="F20" s="179"/>
      <c r="G20" s="179"/>
      <c r="I20" s="46"/>
      <c r="J20" s="47"/>
      <c r="K20" s="46"/>
      <c r="L20" s="46"/>
    </row>
    <row r="21" spans="2:12" ht="9" customHeight="1" x14ac:dyDescent="0.3">
      <c r="B21" s="9"/>
      <c r="C21" s="9"/>
      <c r="D21" s="9"/>
      <c r="E21" s="9"/>
      <c r="F21" s="9"/>
      <c r="G21" s="9"/>
      <c r="I21" s="46"/>
      <c r="J21" s="47"/>
      <c r="K21" s="46"/>
      <c r="L21" s="46"/>
    </row>
    <row r="22" spans="2:12" ht="17.25" x14ac:dyDescent="0.4">
      <c r="B22" s="3"/>
      <c r="C22" s="3"/>
      <c r="D22" s="177" t="s">
        <v>231</v>
      </c>
      <c r="E22" s="177" t="s">
        <v>199</v>
      </c>
      <c r="F22" s="177" t="s">
        <v>231</v>
      </c>
      <c r="G22" s="177" t="s">
        <v>199</v>
      </c>
      <c r="I22" s="46"/>
      <c r="J22" s="47"/>
      <c r="K22" s="46"/>
      <c r="L22" s="46"/>
    </row>
    <row r="23" spans="2:12" x14ac:dyDescent="0.25">
      <c r="B23" s="3" t="s">
        <v>12</v>
      </c>
      <c r="C23" s="3"/>
      <c r="D23" s="10">
        <f>D5/1000</f>
        <v>3945.5</v>
      </c>
      <c r="E23" s="10">
        <v>3425</v>
      </c>
      <c r="F23" s="11">
        <f>D23/D$23</f>
        <v>1</v>
      </c>
      <c r="G23" s="11">
        <f>E23/E$23</f>
        <v>1</v>
      </c>
      <c r="I23" s="46"/>
      <c r="J23" s="47"/>
      <c r="K23" s="46"/>
      <c r="L23" s="46"/>
    </row>
    <row r="24" spans="2:12" ht="17.25" x14ac:dyDescent="0.4">
      <c r="B24" s="12" t="s">
        <v>13</v>
      </c>
      <c r="C24" s="12"/>
      <c r="D24" s="12">
        <f>E24/E23*D23</f>
        <v>2580.414598540146</v>
      </c>
      <c r="E24" s="12">
        <v>2240</v>
      </c>
      <c r="F24" s="11">
        <f t="shared" ref="F24:G33" si="0">D24/D$23</f>
        <v>0.65401459854014599</v>
      </c>
      <c r="G24" s="11">
        <f t="shared" si="0"/>
        <v>0.65401459854014599</v>
      </c>
      <c r="H24" s="13"/>
      <c r="I24" s="46"/>
      <c r="J24" s="47"/>
      <c r="K24" s="46"/>
      <c r="L24" s="46"/>
    </row>
    <row r="25" spans="2:12" x14ac:dyDescent="0.25">
      <c r="B25" s="3" t="s">
        <v>14</v>
      </c>
      <c r="C25" s="3"/>
      <c r="D25" s="10">
        <f>D23-D24</f>
        <v>1365.085401459854</v>
      </c>
      <c r="E25" s="10">
        <f>E23-E24</f>
        <v>1185</v>
      </c>
      <c r="F25" s="11">
        <f t="shared" si="0"/>
        <v>0.34598540145985401</v>
      </c>
      <c r="G25" s="11">
        <f t="shared" si="0"/>
        <v>0.34598540145985401</v>
      </c>
    </row>
    <row r="26" spans="2:12" x14ac:dyDescent="0.25">
      <c r="B26" s="3" t="s">
        <v>2</v>
      </c>
      <c r="C26" s="3"/>
      <c r="D26" s="3">
        <f>D6/1000</f>
        <v>825</v>
      </c>
      <c r="E26" s="3">
        <v>746</v>
      </c>
      <c r="F26" s="11">
        <f t="shared" si="0"/>
        <v>0.20909897351413001</v>
      </c>
      <c r="G26" s="11">
        <f t="shared" si="0"/>
        <v>0.21781021897810218</v>
      </c>
    </row>
    <row r="27" spans="2:12" x14ac:dyDescent="0.25">
      <c r="B27" s="3" t="s">
        <v>3</v>
      </c>
      <c r="C27" s="3"/>
      <c r="D27" s="3">
        <f>D9/1000</f>
        <v>135</v>
      </c>
      <c r="E27" s="3">
        <v>100</v>
      </c>
      <c r="F27" s="11">
        <f t="shared" si="0"/>
        <v>3.4216195665948551E-2</v>
      </c>
      <c r="G27" s="11">
        <f t="shared" si="0"/>
        <v>2.9197080291970802E-2</v>
      </c>
    </row>
    <row r="28" spans="2:12" ht="17.25" x14ac:dyDescent="0.4">
      <c r="B28" s="12" t="s">
        <v>4</v>
      </c>
      <c r="C28" s="12"/>
      <c r="D28" s="29">
        <f>D7/1000</f>
        <v>75</v>
      </c>
      <c r="E28" s="12">
        <v>70</v>
      </c>
      <c r="F28" s="11">
        <f t="shared" si="0"/>
        <v>1.9008997592193638E-2</v>
      </c>
      <c r="G28" s="11">
        <f t="shared" si="0"/>
        <v>2.0437956204379562E-2</v>
      </c>
    </row>
    <row r="29" spans="2:12" x14ac:dyDescent="0.25">
      <c r="B29" s="3" t="s">
        <v>15</v>
      </c>
      <c r="C29" s="3"/>
      <c r="D29" s="10">
        <f>D25-D26-D27-D28</f>
        <v>330.08540145985398</v>
      </c>
      <c r="E29" s="10">
        <f>E25-E26-E27-E28</f>
        <v>269</v>
      </c>
      <c r="F29" s="11">
        <f t="shared" si="0"/>
        <v>8.3661234687581798E-2</v>
      </c>
      <c r="G29" s="11">
        <f t="shared" si="0"/>
        <v>7.8540145985401461E-2</v>
      </c>
    </row>
    <row r="30" spans="2:12" ht="17.25" x14ac:dyDescent="0.4">
      <c r="B30" s="12" t="s">
        <v>5</v>
      </c>
      <c r="C30" s="12"/>
      <c r="D30" s="12">
        <f>D8/1000</f>
        <v>125</v>
      </c>
      <c r="E30" s="12">
        <v>110</v>
      </c>
      <c r="F30" s="11">
        <f t="shared" si="0"/>
        <v>3.1681662653656066E-2</v>
      </c>
      <c r="G30" s="11">
        <f t="shared" si="0"/>
        <v>3.2116788321167884E-2</v>
      </c>
    </row>
    <row r="31" spans="2:12" x14ac:dyDescent="0.25">
      <c r="B31" s="3" t="s">
        <v>16</v>
      </c>
      <c r="C31" s="3"/>
      <c r="D31" s="10">
        <f>D29-D30</f>
        <v>205.08540145985398</v>
      </c>
      <c r="E31" s="10">
        <f>E29-E30</f>
        <v>159</v>
      </c>
      <c r="F31" s="11">
        <f t="shared" si="0"/>
        <v>5.1979572033925732E-2</v>
      </c>
      <c r="G31" s="11">
        <f t="shared" si="0"/>
        <v>4.6423357664233576E-2</v>
      </c>
    </row>
    <row r="32" spans="2:12" ht="17.25" x14ac:dyDescent="0.4">
      <c r="B32" s="12" t="s">
        <v>17</v>
      </c>
      <c r="C32" s="12"/>
      <c r="D32" s="12">
        <f>D31*D3</f>
        <v>71.779890510948889</v>
      </c>
      <c r="E32" s="12">
        <v>248.4</v>
      </c>
      <c r="F32" s="11">
        <f t="shared" si="0"/>
        <v>1.8192850211874004E-2</v>
      </c>
      <c r="G32" s="11">
        <f t="shared" si="0"/>
        <v>7.2525547445255481E-2</v>
      </c>
    </row>
    <row r="33" spans="2:7" x14ac:dyDescent="0.25">
      <c r="B33" s="3" t="s">
        <v>18</v>
      </c>
      <c r="C33" s="3"/>
      <c r="D33" s="10">
        <f>D31-D32</f>
        <v>133.30551094890509</v>
      </c>
      <c r="E33" s="10">
        <f>E31-E32</f>
        <v>-89.4</v>
      </c>
      <c r="F33" s="11">
        <f t="shared" si="0"/>
        <v>3.3786721822051731E-2</v>
      </c>
      <c r="G33" s="11">
        <f t="shared" si="0"/>
        <v>-2.6102189781021898E-2</v>
      </c>
    </row>
    <row r="34" spans="2:7" ht="18" thickBot="1" x14ac:dyDescent="0.45">
      <c r="B34" s="29"/>
      <c r="C34" s="12"/>
      <c r="D34" s="12"/>
      <c r="E34" s="12"/>
      <c r="F34" s="11"/>
      <c r="G34" s="11"/>
    </row>
    <row r="35" spans="2:7" ht="15.75" thickBot="1" x14ac:dyDescent="0.3">
      <c r="B35" s="3" t="s">
        <v>19</v>
      </c>
      <c r="D35" s="28">
        <f>D33/D4*1000</f>
        <v>0.21328881751824816</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84" t="s">
        <v>20</v>
      </c>
      <c r="C39" s="184"/>
      <c r="D39" s="184"/>
      <c r="E39" s="184"/>
      <c r="F39" s="184"/>
      <c r="G39" s="184"/>
    </row>
    <row r="40" spans="2:7" ht="18.75" x14ac:dyDescent="0.3">
      <c r="B40" s="184" t="s">
        <v>227</v>
      </c>
      <c r="C40" s="184"/>
      <c r="D40" s="184"/>
      <c r="E40" s="184"/>
      <c r="F40" s="184"/>
      <c r="G40" s="184"/>
    </row>
    <row r="41" spans="2:7" ht="19.5" thickBot="1" x14ac:dyDescent="0.35">
      <c r="B41" s="178" t="s">
        <v>11</v>
      </c>
      <c r="C41" s="178"/>
      <c r="D41" s="179"/>
      <c r="E41" s="179"/>
      <c r="F41" s="179"/>
      <c r="G41" s="179"/>
    </row>
    <row r="42" spans="2:7" ht="18.75" x14ac:dyDescent="0.3">
      <c r="B42" s="14"/>
      <c r="C42" s="14"/>
      <c r="D42" s="9"/>
      <c r="E42" s="9"/>
      <c r="F42" s="9"/>
      <c r="G42" s="9"/>
    </row>
    <row r="43" spans="2:7" ht="17.25" x14ac:dyDescent="0.4">
      <c r="D43" s="177" t="s">
        <v>231</v>
      </c>
      <c r="E43" s="177" t="s">
        <v>199</v>
      </c>
      <c r="F43" s="177" t="s">
        <v>231</v>
      </c>
      <c r="G43" s="177" t="s">
        <v>199</v>
      </c>
    </row>
    <row r="44" spans="2:7" x14ac:dyDescent="0.25">
      <c r="B44" s="15" t="s">
        <v>21</v>
      </c>
      <c r="C44" s="3"/>
      <c r="D44" s="16">
        <f>D49-D48-D47-D46-D45</f>
        <v>2678.0555109489051</v>
      </c>
      <c r="E44" s="16">
        <v>3425</v>
      </c>
      <c r="F44" s="11">
        <f>D44/D$67</f>
        <v>0.30799751739096659</v>
      </c>
      <c r="G44" s="11">
        <f>E44/E$67</f>
        <v>0.36389715257118571</v>
      </c>
    </row>
    <row r="45" spans="2:7" x14ac:dyDescent="0.25">
      <c r="B45" s="15" t="s">
        <v>22</v>
      </c>
      <c r="C45" s="3"/>
      <c r="D45" s="58">
        <v>550</v>
      </c>
      <c r="E45" s="3">
        <v>460</v>
      </c>
      <c r="F45" s="11">
        <f t="shared" ref="F45:G67" si="1">D45/D$67</f>
        <v>6.3254340275048754E-2</v>
      </c>
      <c r="G45" s="11">
        <f t="shared" si="1"/>
        <v>4.887377815554611E-2</v>
      </c>
    </row>
    <row r="46" spans="2:7" x14ac:dyDescent="0.25">
      <c r="B46" s="15" t="s">
        <v>23</v>
      </c>
      <c r="C46" s="3"/>
      <c r="D46" s="3">
        <f>D10/1000</f>
        <v>1645</v>
      </c>
      <c r="E46" s="3">
        <v>1425</v>
      </c>
      <c r="F46" s="11">
        <f t="shared" si="1"/>
        <v>0.18918798136810039</v>
      </c>
      <c r="G46" s="11">
        <f t="shared" si="1"/>
        <v>0.15140246493837653</v>
      </c>
    </row>
    <row r="47" spans="2:7" x14ac:dyDescent="0.25">
      <c r="B47" s="15" t="s">
        <v>8</v>
      </c>
      <c r="C47" s="3"/>
      <c r="D47" s="52">
        <f>D11/1000</f>
        <v>950</v>
      </c>
      <c r="E47" s="3">
        <v>1240</v>
      </c>
      <c r="F47" s="11">
        <f t="shared" si="1"/>
        <v>0.10925749683872059</v>
      </c>
      <c r="G47" s="11">
        <f t="shared" si="1"/>
        <v>0.1317467063323417</v>
      </c>
    </row>
    <row r="48" spans="2:7" ht="17.25" x14ac:dyDescent="0.4">
      <c r="B48" s="17" t="s">
        <v>24</v>
      </c>
      <c r="C48" s="3"/>
      <c r="D48" s="59">
        <v>52</v>
      </c>
      <c r="E48" s="12">
        <v>37</v>
      </c>
      <c r="F48" s="11">
        <f t="shared" si="1"/>
        <v>5.9804103532773373E-3</v>
      </c>
      <c r="G48" s="11">
        <f t="shared" si="1"/>
        <v>3.9311517212069699E-3</v>
      </c>
    </row>
    <row r="49" spans="2:11" x14ac:dyDescent="0.25">
      <c r="B49" s="18" t="s">
        <v>25</v>
      </c>
      <c r="C49" s="18"/>
      <c r="D49" s="19">
        <f>D54-D53-D52</f>
        <v>5875.0555109489051</v>
      </c>
      <c r="E49" s="19">
        <f>SUM(E44:E48)</f>
        <v>6587</v>
      </c>
      <c r="F49" s="11">
        <f t="shared" si="1"/>
        <v>0.67567774622611365</v>
      </c>
      <c r="G49" s="11">
        <f t="shared" si="1"/>
        <v>0.69985125371865708</v>
      </c>
    </row>
    <row r="50" spans="2:11" x14ac:dyDescent="0.25">
      <c r="B50" s="15" t="s">
        <v>26</v>
      </c>
      <c r="C50" s="3"/>
      <c r="D50" s="3">
        <f>E50+D14/1000</f>
        <v>5050</v>
      </c>
      <c r="E50" s="3">
        <v>4925</v>
      </c>
      <c r="F50" s="11">
        <f t="shared" si="1"/>
        <v>0.58078985161635677</v>
      </c>
      <c r="G50" s="11">
        <f t="shared" si="1"/>
        <v>0.52326816829579259</v>
      </c>
    </row>
    <row r="51" spans="2:11" ht="17.25" x14ac:dyDescent="0.4">
      <c r="B51" s="17" t="s">
        <v>27</v>
      </c>
      <c r="C51" s="3"/>
      <c r="D51" s="12">
        <f>E51+D28</f>
        <v>2525</v>
      </c>
      <c r="E51" s="12">
        <v>2450</v>
      </c>
      <c r="F51" s="11">
        <f t="shared" si="1"/>
        <v>0.29039492580817838</v>
      </c>
      <c r="G51" s="11">
        <f t="shared" si="1"/>
        <v>0.26030599235019125</v>
      </c>
    </row>
    <row r="52" spans="2:11" x14ac:dyDescent="0.25">
      <c r="B52" s="18" t="s">
        <v>28</v>
      </c>
      <c r="C52" s="3"/>
      <c r="D52" s="19">
        <f>D50-D51</f>
        <v>2525</v>
      </c>
      <c r="E52" s="158">
        <f>E50-E51</f>
        <v>2475</v>
      </c>
      <c r="F52" s="11">
        <f t="shared" si="1"/>
        <v>0.29039492580817838</v>
      </c>
      <c r="G52" s="11">
        <f t="shared" si="1"/>
        <v>0.26296217594560134</v>
      </c>
    </row>
    <row r="53" spans="2:11" ht="17.25" x14ac:dyDescent="0.4">
      <c r="B53" s="20" t="s">
        <v>29</v>
      </c>
      <c r="C53" s="3"/>
      <c r="D53" s="59">
        <v>295</v>
      </c>
      <c r="E53" s="12">
        <v>350</v>
      </c>
      <c r="F53" s="11">
        <f t="shared" si="1"/>
        <v>3.3927327965707972E-2</v>
      </c>
      <c r="G53" s="11">
        <f t="shared" si="1"/>
        <v>3.7186570335741603E-2</v>
      </c>
    </row>
    <row r="54" spans="2:11" x14ac:dyDescent="0.25">
      <c r="B54" s="21" t="s">
        <v>30</v>
      </c>
      <c r="C54" s="21"/>
      <c r="D54" s="22">
        <f>D67</f>
        <v>8695.0555109489051</v>
      </c>
      <c r="E54" s="22">
        <f>E53+E52+E49</f>
        <v>9412</v>
      </c>
      <c r="F54" s="11">
        <f t="shared" si="1"/>
        <v>1</v>
      </c>
      <c r="G54" s="11">
        <f t="shared" si="1"/>
        <v>1</v>
      </c>
    </row>
    <row r="55" spans="2:11" x14ac:dyDescent="0.25">
      <c r="B55" s="3"/>
      <c r="C55" s="3"/>
      <c r="D55" s="3"/>
      <c r="E55" s="3"/>
      <c r="F55" s="11"/>
      <c r="G55" s="11"/>
    </row>
    <row r="56" spans="2:11" x14ac:dyDescent="0.25">
      <c r="B56" s="15" t="s">
        <v>31</v>
      </c>
      <c r="C56" s="3"/>
      <c r="D56" s="16">
        <f>D12/1000</f>
        <v>750</v>
      </c>
      <c r="E56" s="16">
        <v>986</v>
      </c>
      <c r="F56" s="11">
        <f t="shared" si="1"/>
        <v>8.6255918556884678E-2</v>
      </c>
      <c r="G56" s="11">
        <f t="shared" si="1"/>
        <v>0.10475988100297493</v>
      </c>
    </row>
    <row r="57" spans="2:11" x14ac:dyDescent="0.25">
      <c r="B57" s="15" t="s">
        <v>32</v>
      </c>
      <c r="C57" s="3"/>
      <c r="D57" s="58">
        <v>36</v>
      </c>
      <c r="E57" s="3">
        <v>320</v>
      </c>
      <c r="F57" s="11">
        <f t="shared" si="1"/>
        <v>4.1402840907304641E-3</v>
      </c>
      <c r="G57" s="11">
        <f t="shared" si="1"/>
        <v>3.3999150021249466E-2</v>
      </c>
    </row>
    <row r="58" spans="2:11" x14ac:dyDescent="0.25">
      <c r="B58" s="15" t="s">
        <v>33</v>
      </c>
      <c r="C58" s="3"/>
      <c r="D58" s="58">
        <v>86</v>
      </c>
      <c r="E58" s="3">
        <v>75</v>
      </c>
      <c r="F58" s="11">
        <f t="shared" si="1"/>
        <v>9.8906786611894417E-3</v>
      </c>
      <c r="G58" s="11">
        <f t="shared" si="1"/>
        <v>7.9685507862303443E-3</v>
      </c>
    </row>
    <row r="59" spans="2:11" ht="17.25" x14ac:dyDescent="0.4">
      <c r="B59" s="17" t="s">
        <v>34</v>
      </c>
      <c r="C59" s="3"/>
      <c r="D59" s="59">
        <v>450</v>
      </c>
      <c r="E59" s="12">
        <v>380</v>
      </c>
      <c r="F59" s="11">
        <f t="shared" si="1"/>
        <v>5.1753551134130805E-2</v>
      </c>
      <c r="G59" s="11">
        <f t="shared" si="1"/>
        <v>4.0373990650233747E-2</v>
      </c>
    </row>
    <row r="60" spans="2:11" x14ac:dyDescent="0.25">
      <c r="B60" s="18" t="s">
        <v>35</v>
      </c>
      <c r="C60" s="3"/>
      <c r="D60" s="19">
        <f>SUM(D56:D59)</f>
        <v>1322</v>
      </c>
      <c r="E60" s="19">
        <f>SUM(E56:E59)</f>
        <v>1761</v>
      </c>
      <c r="F60" s="11">
        <f t="shared" si="1"/>
        <v>0.15204043244293539</v>
      </c>
      <c r="G60" s="11">
        <f t="shared" si="1"/>
        <v>0.18710157246068848</v>
      </c>
    </row>
    <row r="61" spans="2:11" ht="17.25" x14ac:dyDescent="0.4">
      <c r="B61" s="17" t="s">
        <v>36</v>
      </c>
      <c r="C61" s="3"/>
      <c r="D61" s="59">
        <v>1945</v>
      </c>
      <c r="E61" s="12">
        <v>2075</v>
      </c>
      <c r="F61" s="11">
        <f t="shared" si="1"/>
        <v>0.22369034879085425</v>
      </c>
      <c r="G61" s="11">
        <f t="shared" si="1"/>
        <v>0.22046323841903953</v>
      </c>
    </row>
    <row r="62" spans="2:11" x14ac:dyDescent="0.25">
      <c r="B62" s="18" t="s">
        <v>37</v>
      </c>
      <c r="C62" s="3"/>
      <c r="D62" s="19">
        <f>D60+D61</f>
        <v>3267</v>
      </c>
      <c r="E62" s="19">
        <f>E60+E61</f>
        <v>3836</v>
      </c>
      <c r="F62" s="11">
        <f t="shared" si="1"/>
        <v>0.37573078123378961</v>
      </c>
      <c r="G62" s="11">
        <f t="shared" si="1"/>
        <v>0.40756481087972801</v>
      </c>
    </row>
    <row r="63" spans="2:11" x14ac:dyDescent="0.25">
      <c r="B63" s="15" t="s">
        <v>38</v>
      </c>
      <c r="C63" s="3"/>
      <c r="D63" s="58">
        <v>4119</v>
      </c>
      <c r="E63" s="3">
        <v>4119</v>
      </c>
      <c r="F63" s="11">
        <f t="shared" si="1"/>
        <v>0.4737175047144106</v>
      </c>
      <c r="G63" s="11">
        <f t="shared" si="1"/>
        <v>0.43763280917977049</v>
      </c>
      <c r="K63">
        <f>6277-6158</f>
        <v>119</v>
      </c>
    </row>
    <row r="64" spans="2:11" x14ac:dyDescent="0.25">
      <c r="B64" s="15" t="s">
        <v>39</v>
      </c>
      <c r="C64" s="3"/>
      <c r="D64" s="58">
        <v>342</v>
      </c>
      <c r="E64" s="3">
        <v>342</v>
      </c>
      <c r="F64" s="11">
        <f t="shared" si="1"/>
        <v>3.9332698861939408E-2</v>
      </c>
      <c r="G64" s="11">
        <f t="shared" si="1"/>
        <v>3.6336591585210368E-2</v>
      </c>
    </row>
    <row r="65" spans="2:7" ht="17.25" x14ac:dyDescent="0.4">
      <c r="B65" s="17" t="s">
        <v>40</v>
      </c>
      <c r="C65" s="3"/>
      <c r="D65" s="12">
        <f>D33-(D13*D4/1000)+E65</f>
        <v>967.05551094890507</v>
      </c>
      <c r="E65" s="12">
        <v>1115</v>
      </c>
      <c r="F65" s="11">
        <f t="shared" si="1"/>
        <v>0.11121901518986033</v>
      </c>
      <c r="G65" s="11">
        <f t="shared" si="1"/>
        <v>0.11846578835529112</v>
      </c>
    </row>
    <row r="66" spans="2:7" ht="17.25" x14ac:dyDescent="0.4">
      <c r="B66" s="23" t="s">
        <v>41</v>
      </c>
      <c r="C66" s="3"/>
      <c r="D66" s="24">
        <f>D63+D64+D65</f>
        <v>5428.0555109489051</v>
      </c>
      <c r="E66" s="24">
        <f>E63+E64+E65</f>
        <v>5576</v>
      </c>
      <c r="F66" s="11">
        <f t="shared" si="1"/>
        <v>0.62426921876621033</v>
      </c>
      <c r="G66" s="11">
        <f t="shared" si="1"/>
        <v>0.59243518912027204</v>
      </c>
    </row>
    <row r="67" spans="2:7" x14ac:dyDescent="0.25">
      <c r="B67" s="21" t="s">
        <v>42</v>
      </c>
      <c r="C67" s="21"/>
      <c r="D67" s="22">
        <f>D66+D62</f>
        <v>8695.0555109489051</v>
      </c>
      <c r="E67" s="22">
        <f>E66+E62</f>
        <v>9412</v>
      </c>
      <c r="F67" s="11">
        <f t="shared" si="1"/>
        <v>1</v>
      </c>
      <c r="G67" s="11">
        <f t="shared" si="1"/>
        <v>1</v>
      </c>
    </row>
    <row r="68" spans="2:7" ht="15.75" thickBot="1" x14ac:dyDescent="0.3">
      <c r="B68" s="25"/>
      <c r="C68" s="25"/>
      <c r="D68" s="26"/>
      <c r="E68" s="26"/>
    </row>
    <row r="69" spans="2:7" ht="18.75" x14ac:dyDescent="0.3">
      <c r="B69" s="180" t="s">
        <v>43</v>
      </c>
      <c r="C69" s="180"/>
      <c r="D69" s="180"/>
      <c r="E69" s="180"/>
    </row>
    <row r="70" spans="2:7" ht="19.5" thickBot="1" x14ac:dyDescent="0.35">
      <c r="B70" s="181" t="s">
        <v>11</v>
      </c>
      <c r="C70" s="181"/>
      <c r="D70" s="181"/>
      <c r="E70" s="181"/>
    </row>
    <row r="72" spans="2:7" ht="17.25" x14ac:dyDescent="0.4">
      <c r="D72" s="182" t="s">
        <v>231</v>
      </c>
      <c r="E72" s="182"/>
    </row>
    <row r="73" spans="2:7" ht="15.75" x14ac:dyDescent="0.25">
      <c r="B73" s="27" t="s">
        <v>44</v>
      </c>
      <c r="C73" s="3"/>
      <c r="D73" s="3"/>
    </row>
    <row r="74" spans="2:7" x14ac:dyDescent="0.25">
      <c r="B74" s="15" t="s">
        <v>45</v>
      </c>
      <c r="C74" s="3"/>
      <c r="D74" s="3"/>
    </row>
    <row r="75" spans="2:7" x14ac:dyDescent="0.25">
      <c r="B75" s="15" t="s">
        <v>46</v>
      </c>
      <c r="C75" s="3"/>
      <c r="D75" s="159">
        <f>D7/1000</f>
        <v>75</v>
      </c>
    </row>
    <row r="76" spans="2:7" x14ac:dyDescent="0.25">
      <c r="B76" s="15" t="s">
        <v>47</v>
      </c>
      <c r="C76" s="3"/>
    </row>
    <row r="77" spans="2:7" x14ac:dyDescent="0.25">
      <c r="B77" s="15" t="s">
        <v>48</v>
      </c>
      <c r="C77" s="3"/>
      <c r="D77" s="53">
        <f>E46-D46</f>
        <v>-220</v>
      </c>
    </row>
    <row r="78" spans="2:7" x14ac:dyDescent="0.25">
      <c r="B78" s="15" t="s">
        <v>49</v>
      </c>
      <c r="C78" s="3"/>
      <c r="D78" s="157"/>
    </row>
    <row r="79" spans="2:7" x14ac:dyDescent="0.25">
      <c r="B79" s="15" t="s">
        <v>50</v>
      </c>
      <c r="C79" s="3"/>
      <c r="D79" s="88"/>
    </row>
    <row r="80" spans="2:7" x14ac:dyDescent="0.25">
      <c r="B80" s="15" t="s">
        <v>51</v>
      </c>
      <c r="C80" s="3"/>
      <c r="D80" s="53">
        <f>D56-E56</f>
        <v>-236</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159">
        <f>E50-D50</f>
        <v>-125</v>
      </c>
    </row>
    <row r="86" spans="2:4" ht="17.25" x14ac:dyDescent="0.4">
      <c r="B86" s="17" t="s">
        <v>56</v>
      </c>
      <c r="C86" s="3"/>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row>
    <row r="91" spans="2:4" x14ac:dyDescent="0.25">
      <c r="B91" s="15" t="s">
        <v>59</v>
      </c>
      <c r="C91" s="3"/>
      <c r="D91" s="159">
        <f>D61-E61</f>
        <v>-130</v>
      </c>
    </row>
    <row r="92" spans="2:4" x14ac:dyDescent="0.25">
      <c r="B92" s="15" t="s">
        <v>60</v>
      </c>
      <c r="C92" s="3"/>
    </row>
    <row r="93" spans="2:4" x14ac:dyDescent="0.25">
      <c r="B93" s="15" t="s">
        <v>61</v>
      </c>
      <c r="C93" s="3"/>
      <c r="D93" s="18"/>
    </row>
    <row r="94" spans="2:4" ht="17.25" x14ac:dyDescent="0.4">
      <c r="B94" s="17" t="s">
        <v>62</v>
      </c>
      <c r="C94" s="3"/>
      <c r="D94" s="53">
        <f>-D13*D4/1000</f>
        <v>-281.25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zoomScale="85" zoomScaleNormal="85" workbookViewId="0"/>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85" t="s">
        <v>93</v>
      </c>
      <c r="C20" s="186"/>
      <c r="D20" s="186"/>
      <c r="E20" s="186"/>
      <c r="F20" s="186"/>
      <c r="G20" s="186"/>
      <c r="H20" s="186"/>
      <c r="I20" s="186"/>
      <c r="J20" s="186"/>
      <c r="K20" s="186"/>
      <c r="L20" s="186"/>
      <c r="M20" s="186"/>
      <c r="N20" s="187"/>
    </row>
    <row r="21" spans="2:20" ht="15.75" thickBot="1" x14ac:dyDescent="0.3">
      <c r="B21" s="30"/>
      <c r="C21" s="30"/>
      <c r="D21" s="30"/>
      <c r="E21" s="30"/>
      <c r="F21" s="30"/>
      <c r="G21" s="30"/>
      <c r="H21" s="30"/>
      <c r="I21" s="30"/>
      <c r="J21" s="30"/>
      <c r="K21" s="30"/>
      <c r="L21" s="30"/>
      <c r="M21" s="30"/>
      <c r="N21" s="30"/>
    </row>
    <row r="22" spans="2:20" ht="15.75" thickBot="1" x14ac:dyDescent="0.3">
      <c r="B22" s="43" t="s">
        <v>99</v>
      </c>
      <c r="C22" s="31"/>
      <c r="D22" s="30"/>
      <c r="E22" s="30"/>
      <c r="F22" s="168">
        <v>0.35</v>
      </c>
      <c r="G22" s="30"/>
      <c r="H22" s="33" t="s">
        <v>100</v>
      </c>
      <c r="I22" s="30"/>
      <c r="J22" s="30"/>
      <c r="K22" s="30"/>
      <c r="L22" s="167">
        <v>85000</v>
      </c>
      <c r="M22" s="30"/>
      <c r="N22" s="30"/>
    </row>
    <row r="23" spans="2:20" ht="15.75" thickBot="1" x14ac:dyDescent="0.3">
      <c r="B23" s="43" t="s">
        <v>101</v>
      </c>
      <c r="C23" s="31"/>
      <c r="D23" s="30"/>
      <c r="E23" s="30"/>
      <c r="F23" s="168">
        <v>0.1</v>
      </c>
      <c r="G23" s="30"/>
      <c r="H23" s="30"/>
      <c r="I23" s="30"/>
      <c r="J23" s="30"/>
      <c r="K23" s="30"/>
      <c r="L23" s="165"/>
      <c r="M23" s="30"/>
      <c r="N23" s="30"/>
      <c r="T23" t="s">
        <v>78</v>
      </c>
    </row>
    <row r="24" spans="2:20" ht="15.75" thickBot="1" x14ac:dyDescent="0.3">
      <c r="B24" s="43" t="s">
        <v>102</v>
      </c>
      <c r="C24" s="31"/>
      <c r="D24" s="30"/>
      <c r="E24" s="30"/>
      <c r="F24" s="168">
        <v>0.55000000000000004</v>
      </c>
      <c r="G24" s="30"/>
      <c r="H24" s="33" t="s">
        <v>103</v>
      </c>
      <c r="I24" s="30"/>
      <c r="J24" s="30"/>
      <c r="K24" s="30"/>
      <c r="L24" s="166" t="s">
        <v>137</v>
      </c>
      <c r="M24" s="30"/>
      <c r="N24" s="30"/>
      <c r="T24" t="s">
        <v>136</v>
      </c>
    </row>
    <row r="25" spans="2:20" ht="15.75" thickBot="1" x14ac:dyDescent="0.3">
      <c r="B25" s="36"/>
      <c r="C25" s="31"/>
      <c r="D25" s="30"/>
      <c r="E25" s="30"/>
      <c r="F25" s="165"/>
      <c r="G25" s="30"/>
      <c r="H25" s="30"/>
      <c r="I25" s="30"/>
      <c r="J25" s="30"/>
      <c r="K25" s="30"/>
      <c r="L25" s="165"/>
      <c r="M25" s="30"/>
      <c r="N25" s="30"/>
      <c r="T25" t="s">
        <v>137</v>
      </c>
    </row>
    <row r="26" spans="2:20" ht="15.75" thickBot="1" x14ac:dyDescent="0.3">
      <c r="B26" s="33" t="s">
        <v>104</v>
      </c>
      <c r="C26" s="31"/>
      <c r="D26" s="30"/>
      <c r="E26" s="30"/>
      <c r="F26" s="168">
        <v>0.3</v>
      </c>
      <c r="G26" s="30"/>
      <c r="H26" s="43" t="s">
        <v>94</v>
      </c>
      <c r="I26" s="30"/>
      <c r="J26" s="30"/>
      <c r="K26" s="30"/>
      <c r="L26" s="167">
        <v>20000</v>
      </c>
      <c r="M26" s="30"/>
      <c r="N26" s="30"/>
      <c r="T26" t="s">
        <v>138</v>
      </c>
    </row>
    <row r="27" spans="2:20" x14ac:dyDescent="0.25">
      <c r="B27" s="30"/>
      <c r="C27" s="31"/>
      <c r="D27" s="30"/>
      <c r="E27" s="30"/>
      <c r="F27" s="30"/>
      <c r="G27" s="30"/>
      <c r="H27" s="30"/>
      <c r="I27" s="30"/>
      <c r="J27" s="30"/>
      <c r="K27" s="30"/>
      <c r="L27" s="30"/>
      <c r="M27" s="30"/>
      <c r="N27" s="30"/>
    </row>
    <row r="28" spans="2:20" ht="17.25" x14ac:dyDescent="0.4">
      <c r="B28" s="36"/>
      <c r="C28" s="41" t="s">
        <v>74</v>
      </c>
      <c r="D28" s="41" t="s">
        <v>75</v>
      </c>
      <c r="E28" s="41" t="s">
        <v>76</v>
      </c>
      <c r="F28" s="41" t="s">
        <v>77</v>
      </c>
      <c r="G28" s="41" t="s">
        <v>78</v>
      </c>
      <c r="H28" s="41" t="s">
        <v>79</v>
      </c>
      <c r="I28" s="41" t="s">
        <v>80</v>
      </c>
      <c r="J28" s="41" t="s">
        <v>81</v>
      </c>
      <c r="K28" s="41" t="s">
        <v>82</v>
      </c>
      <c r="L28" s="41" t="s">
        <v>83</v>
      </c>
      <c r="M28" s="41" t="s">
        <v>84</v>
      </c>
      <c r="N28" s="41" t="s">
        <v>85</v>
      </c>
    </row>
    <row r="29" spans="2:20" x14ac:dyDescent="0.25">
      <c r="B29" s="33" t="s">
        <v>105</v>
      </c>
      <c r="C29" s="170">
        <v>11850</v>
      </c>
      <c r="D29" s="170">
        <v>12500</v>
      </c>
      <c r="E29" s="170">
        <v>13125</v>
      </c>
      <c r="F29" s="169">
        <v>14690</v>
      </c>
      <c r="G29" s="169">
        <v>15520</v>
      </c>
      <c r="H29" s="169">
        <v>16800</v>
      </c>
      <c r="I29" s="169">
        <v>17200</v>
      </c>
      <c r="J29" s="169">
        <v>15250</v>
      </c>
      <c r="K29" s="169">
        <v>14250</v>
      </c>
      <c r="L29" s="169">
        <v>15850</v>
      </c>
      <c r="M29" s="169">
        <v>17850</v>
      </c>
      <c r="N29" s="169">
        <v>19125</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4">
        <f t="shared" ref="F31:N31" si="0">F29*Collect0+E29*Collect1+D29*Collect2</f>
        <v>13329</v>
      </c>
      <c r="G31" s="44">
        <f t="shared" si="0"/>
        <v>14119.75</v>
      </c>
      <c r="H31" s="44">
        <f t="shared" si="0"/>
        <v>15511.5</v>
      </c>
      <c r="I31" s="44">
        <f t="shared" si="0"/>
        <v>16236</v>
      </c>
      <c r="J31" s="44">
        <f t="shared" si="0"/>
        <v>16297.5</v>
      </c>
      <c r="K31" s="44">
        <f t="shared" si="0"/>
        <v>15972.5</v>
      </c>
      <c r="L31" s="44">
        <f t="shared" si="0"/>
        <v>15360</v>
      </c>
      <c r="M31" s="44">
        <f t="shared" si="0"/>
        <v>15670</v>
      </c>
      <c r="N31" s="44">
        <f t="shared" si="0"/>
        <v>17196.25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4">
        <f>F29*$F$26</f>
        <v>4407</v>
      </c>
      <c r="G33" s="44">
        <f t="shared" ref="G33:N33" si="1">G29*$F$26</f>
        <v>4656</v>
      </c>
      <c r="H33" s="44">
        <f t="shared" si="1"/>
        <v>5040</v>
      </c>
      <c r="I33" s="44">
        <f t="shared" si="1"/>
        <v>5160</v>
      </c>
      <c r="J33" s="44">
        <f t="shared" si="1"/>
        <v>4575</v>
      </c>
      <c r="K33" s="44">
        <f t="shared" si="1"/>
        <v>4275</v>
      </c>
      <c r="L33" s="44">
        <f t="shared" si="1"/>
        <v>4755</v>
      </c>
      <c r="M33" s="44">
        <f t="shared" si="1"/>
        <v>5355</v>
      </c>
      <c r="N33" s="44">
        <f t="shared" si="1"/>
        <v>5737.5</v>
      </c>
      <c r="O33" s="30"/>
    </row>
    <row r="34" spans="2:15" x14ac:dyDescent="0.25">
      <c r="B34" s="36" t="s">
        <v>3</v>
      </c>
      <c r="C34" s="31"/>
      <c r="D34" s="31"/>
      <c r="E34" s="31"/>
      <c r="F34" s="170">
        <v>2500</v>
      </c>
      <c r="G34" s="170">
        <v>2500</v>
      </c>
      <c r="H34" s="170">
        <v>2500</v>
      </c>
      <c r="I34" s="170">
        <v>2500</v>
      </c>
      <c r="J34" s="170">
        <v>2500</v>
      </c>
      <c r="K34" s="170">
        <v>2500</v>
      </c>
      <c r="L34" s="170">
        <v>2500</v>
      </c>
      <c r="M34" s="170">
        <v>2500</v>
      </c>
      <c r="N34" s="170">
        <v>2500</v>
      </c>
      <c r="O34" s="30"/>
    </row>
    <row r="35" spans="2:15" x14ac:dyDescent="0.25">
      <c r="B35" s="36" t="s">
        <v>96</v>
      </c>
      <c r="C35" s="31"/>
      <c r="D35" s="31"/>
      <c r="E35" s="31"/>
      <c r="F35" s="170">
        <v>650</v>
      </c>
      <c r="G35" s="170">
        <v>0</v>
      </c>
      <c r="H35" s="170">
        <v>0</v>
      </c>
      <c r="I35" s="170">
        <v>650</v>
      </c>
      <c r="J35" s="170">
        <v>0</v>
      </c>
      <c r="K35" s="170">
        <v>0</v>
      </c>
      <c r="L35" s="170">
        <v>650</v>
      </c>
      <c r="M35" s="170">
        <v>0</v>
      </c>
      <c r="N35" s="170">
        <v>0</v>
      </c>
      <c r="O35" s="30"/>
    </row>
    <row r="36" spans="2:15" x14ac:dyDescent="0.25">
      <c r="B36" s="36" t="s">
        <v>108</v>
      </c>
      <c r="C36" s="31"/>
      <c r="D36" s="31"/>
      <c r="E36" s="31"/>
      <c r="F36" s="42">
        <v>0</v>
      </c>
      <c r="G36" s="44">
        <f>IF($L$24="May",$L$22,0)</f>
        <v>0</v>
      </c>
      <c r="H36" s="44">
        <f>IF($L$24="June",$L$22,0)</f>
        <v>0</v>
      </c>
      <c r="I36" s="44">
        <f>IF($L$24="July",$L$22,0)</f>
        <v>85000</v>
      </c>
      <c r="J36" s="44">
        <f>IF($L$24="August",$L$22,0)</f>
        <v>0</v>
      </c>
      <c r="K36" s="42">
        <v>0</v>
      </c>
      <c r="L36" s="42">
        <v>0</v>
      </c>
      <c r="M36" s="42">
        <v>0</v>
      </c>
      <c r="N36" s="42">
        <v>0</v>
      </c>
      <c r="O36" s="30"/>
    </row>
    <row r="37" spans="2:15" ht="17.25" x14ac:dyDescent="0.4">
      <c r="B37" s="45" t="s">
        <v>97</v>
      </c>
      <c r="C37" s="31"/>
      <c r="D37" s="31"/>
      <c r="E37" s="31"/>
      <c r="F37" s="173">
        <v>125</v>
      </c>
      <c r="G37" s="173">
        <v>0</v>
      </c>
      <c r="H37" s="173">
        <v>0</v>
      </c>
      <c r="I37" s="173">
        <v>125</v>
      </c>
      <c r="J37" s="173">
        <v>0</v>
      </c>
      <c r="K37" s="173">
        <v>0</v>
      </c>
      <c r="L37" s="173">
        <v>125</v>
      </c>
      <c r="M37" s="173">
        <v>0</v>
      </c>
      <c r="N37" s="173">
        <v>0</v>
      </c>
      <c r="O37" s="30"/>
    </row>
    <row r="38" spans="2:15" x14ac:dyDescent="0.25">
      <c r="B38" s="36" t="s">
        <v>109</v>
      </c>
      <c r="C38" s="31"/>
      <c r="D38" s="31"/>
      <c r="E38" s="31"/>
      <c r="F38" s="42">
        <f>SUM(F33:F37)</f>
        <v>7682</v>
      </c>
      <c r="G38" s="54">
        <f t="shared" ref="G38:N38" si="2">SUM(G33:G37)</f>
        <v>7156</v>
      </c>
      <c r="H38" s="54">
        <f t="shared" si="2"/>
        <v>7540</v>
      </c>
      <c r="I38" s="54">
        <f t="shared" si="2"/>
        <v>93435</v>
      </c>
      <c r="J38" s="54">
        <f t="shared" si="2"/>
        <v>7075</v>
      </c>
      <c r="K38" s="54">
        <f t="shared" si="2"/>
        <v>6775</v>
      </c>
      <c r="L38" s="54">
        <f t="shared" si="2"/>
        <v>8030</v>
      </c>
      <c r="M38" s="54">
        <f t="shared" si="2"/>
        <v>7855</v>
      </c>
      <c r="N38" s="54">
        <f t="shared" si="2"/>
        <v>8237.5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88" t="s">
        <v>95</v>
      </c>
      <c r="C40" s="188"/>
      <c r="D40" s="188"/>
      <c r="E40" s="188"/>
      <c r="F40" s="188"/>
      <c r="G40" s="188"/>
      <c r="H40" s="188"/>
      <c r="I40" s="188"/>
      <c r="J40" s="188"/>
      <c r="K40" s="188"/>
      <c r="L40" s="188"/>
      <c r="M40" s="188"/>
      <c r="N40" s="188"/>
      <c r="O40" s="30"/>
    </row>
    <row r="41" spans="2:15" ht="21.6" customHeight="1" thickBot="1" x14ac:dyDescent="0.3">
      <c r="B41" s="39"/>
      <c r="C41" s="40"/>
      <c r="D41" s="40"/>
      <c r="E41" s="40" t="s">
        <v>76</v>
      </c>
      <c r="F41" s="40" t="s">
        <v>77</v>
      </c>
      <c r="G41" s="40" t="s">
        <v>78</v>
      </c>
      <c r="H41" s="40" t="s">
        <v>79</v>
      </c>
      <c r="I41" s="40" t="s">
        <v>80</v>
      </c>
      <c r="J41" s="40" t="s">
        <v>81</v>
      </c>
      <c r="K41" s="40" t="s">
        <v>82</v>
      </c>
      <c r="L41" s="40" t="s">
        <v>83</v>
      </c>
      <c r="M41" s="40" t="s">
        <v>84</v>
      </c>
      <c r="N41" s="40" t="s">
        <v>85</v>
      </c>
      <c r="O41" s="38"/>
    </row>
    <row r="42" spans="2:15" ht="19.5" customHeight="1" x14ac:dyDescent="0.25">
      <c r="B42" s="33" t="s">
        <v>86</v>
      </c>
      <c r="C42" s="33"/>
      <c r="D42" s="33"/>
      <c r="E42" s="33"/>
      <c r="F42" s="33">
        <f>E46</f>
        <v>17500</v>
      </c>
      <c r="G42" s="55">
        <f t="shared" ref="G42:N42" si="3">F46</f>
        <v>20000</v>
      </c>
      <c r="H42" s="55">
        <f t="shared" si="3"/>
        <v>20000</v>
      </c>
      <c r="I42" s="55">
        <f t="shared" si="3"/>
        <v>20000</v>
      </c>
      <c r="J42" s="55">
        <f t="shared" si="3"/>
        <v>20000</v>
      </c>
      <c r="K42" s="55">
        <f t="shared" si="3"/>
        <v>20000</v>
      </c>
      <c r="L42" s="55">
        <f t="shared" si="3"/>
        <v>20000</v>
      </c>
      <c r="M42" s="55">
        <f t="shared" si="3"/>
        <v>20000</v>
      </c>
      <c r="N42" s="55">
        <f t="shared" si="3"/>
        <v>20000</v>
      </c>
      <c r="O42" s="30"/>
    </row>
    <row r="43" spans="2:15" ht="17.25" x14ac:dyDescent="0.4">
      <c r="B43" s="34" t="s">
        <v>87</v>
      </c>
      <c r="C43" s="35"/>
      <c r="D43" s="35"/>
      <c r="E43" s="35"/>
      <c r="F43" s="35">
        <f>F31-F38</f>
        <v>5647</v>
      </c>
      <c r="G43" s="35">
        <f t="shared" ref="G43:N43" si="4">G31-G38</f>
        <v>6963.75</v>
      </c>
      <c r="H43" s="35">
        <f t="shared" si="4"/>
        <v>7971.5</v>
      </c>
      <c r="I43" s="35">
        <f t="shared" si="4"/>
        <v>-77199</v>
      </c>
      <c r="J43" s="35">
        <f t="shared" si="4"/>
        <v>9222.5</v>
      </c>
      <c r="K43" s="35">
        <f t="shared" si="4"/>
        <v>9197.5</v>
      </c>
      <c r="L43" s="35">
        <f t="shared" si="4"/>
        <v>7330</v>
      </c>
      <c r="M43" s="35">
        <f t="shared" si="4"/>
        <v>7815</v>
      </c>
      <c r="N43" s="35">
        <f t="shared" si="4"/>
        <v>8958.75</v>
      </c>
      <c r="O43" s="30"/>
    </row>
    <row r="44" spans="2:15" x14ac:dyDescent="0.25">
      <c r="B44" s="36" t="s">
        <v>88</v>
      </c>
      <c r="C44" s="36"/>
      <c r="D44" s="36"/>
      <c r="E44" s="36"/>
      <c r="F44" s="36">
        <f>F42+F43</f>
        <v>23147</v>
      </c>
      <c r="G44" s="56">
        <f t="shared" ref="G44:N44" si="5">G42+G43</f>
        <v>26963.75</v>
      </c>
      <c r="H44" s="56">
        <f t="shared" si="5"/>
        <v>27971.5</v>
      </c>
      <c r="I44" s="56">
        <f t="shared" si="5"/>
        <v>-57199</v>
      </c>
      <c r="J44" s="56">
        <f t="shared" si="5"/>
        <v>29222.5</v>
      </c>
      <c r="K44" s="56">
        <f t="shared" si="5"/>
        <v>29197.5</v>
      </c>
      <c r="L44" s="56">
        <f t="shared" si="5"/>
        <v>27330</v>
      </c>
      <c r="M44" s="56">
        <f t="shared" si="5"/>
        <v>27815</v>
      </c>
      <c r="N44" s="56">
        <f t="shared" si="5"/>
        <v>28958.75</v>
      </c>
      <c r="O44" s="36"/>
    </row>
    <row r="45" spans="2:15" ht="17.25" x14ac:dyDescent="0.4">
      <c r="B45" s="34" t="s">
        <v>89</v>
      </c>
      <c r="C45" s="35"/>
      <c r="D45" s="35"/>
      <c r="E45" s="35"/>
      <c r="F45" s="35">
        <f>F46-F44</f>
        <v>-3147</v>
      </c>
      <c r="G45" s="35">
        <f t="shared" ref="G45:N45" si="6">G46-G44</f>
        <v>-6963.75</v>
      </c>
      <c r="H45" s="35">
        <f t="shared" si="6"/>
        <v>-7971.5</v>
      </c>
      <c r="I45" s="35">
        <f t="shared" si="6"/>
        <v>77199</v>
      </c>
      <c r="J45" s="35">
        <f t="shared" si="6"/>
        <v>-9222.5</v>
      </c>
      <c r="K45" s="35">
        <f t="shared" si="6"/>
        <v>-9197.5</v>
      </c>
      <c r="L45" s="35">
        <f t="shared" si="6"/>
        <v>-7330</v>
      </c>
      <c r="M45" s="35">
        <f t="shared" si="6"/>
        <v>-7815</v>
      </c>
      <c r="N45" s="35">
        <f t="shared" si="6"/>
        <v>-8958.75</v>
      </c>
      <c r="O45" s="30"/>
    </row>
    <row r="46" spans="2:15" x14ac:dyDescent="0.25">
      <c r="B46" s="36" t="s">
        <v>90</v>
      </c>
      <c r="C46" s="36"/>
      <c r="D46" s="36"/>
      <c r="E46" s="36">
        <v>17500</v>
      </c>
      <c r="F46" s="36">
        <f>L26</f>
        <v>20000</v>
      </c>
      <c r="G46" s="36">
        <f>F46</f>
        <v>20000</v>
      </c>
      <c r="H46" s="56">
        <f t="shared" ref="H46:N46" si="7">G46</f>
        <v>20000</v>
      </c>
      <c r="I46" s="56">
        <f t="shared" si="7"/>
        <v>20000</v>
      </c>
      <c r="J46" s="56">
        <f t="shared" si="7"/>
        <v>20000</v>
      </c>
      <c r="K46" s="56">
        <f t="shared" si="7"/>
        <v>20000</v>
      </c>
      <c r="L46" s="56">
        <f t="shared" si="7"/>
        <v>20000</v>
      </c>
      <c r="M46" s="56">
        <f t="shared" si="7"/>
        <v>20000</v>
      </c>
      <c r="N46" s="56">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139</v>
      </c>
      <c r="C48" s="36"/>
      <c r="D48" s="36"/>
      <c r="E48" s="33"/>
      <c r="F48" s="33">
        <f>F45</f>
        <v>-3147</v>
      </c>
      <c r="G48" s="33">
        <f>F48+G45</f>
        <v>-10110.75</v>
      </c>
      <c r="H48" s="55">
        <f t="shared" ref="H48:N48" si="8">G48+H45</f>
        <v>-18082.25</v>
      </c>
      <c r="I48" s="55">
        <f t="shared" si="8"/>
        <v>59116.75</v>
      </c>
      <c r="J48" s="55">
        <f t="shared" si="8"/>
        <v>49894.25</v>
      </c>
      <c r="K48" s="55">
        <f t="shared" si="8"/>
        <v>40696.75</v>
      </c>
      <c r="L48" s="55">
        <f t="shared" si="8"/>
        <v>33366.75</v>
      </c>
      <c r="M48" s="55">
        <f t="shared" si="8"/>
        <v>25551.75</v>
      </c>
      <c r="N48" s="55">
        <f t="shared" si="8"/>
        <v>16593</v>
      </c>
      <c r="O48" s="35"/>
    </row>
    <row r="49" spans="2:14" ht="15.75" thickBot="1" x14ac:dyDescent="0.3">
      <c r="B49" s="32"/>
      <c r="C49" s="32"/>
      <c r="D49" s="32"/>
      <c r="E49" s="33"/>
      <c r="F49" s="33"/>
      <c r="G49" s="33"/>
      <c r="H49" s="33"/>
      <c r="I49" s="33"/>
      <c r="J49" s="33"/>
      <c r="K49" s="33"/>
      <c r="L49" s="33"/>
      <c r="M49" s="33"/>
      <c r="N49" s="33"/>
    </row>
    <row r="50" spans="2:14" ht="19.5" thickBot="1" x14ac:dyDescent="0.3">
      <c r="B50" s="188" t="s">
        <v>110</v>
      </c>
      <c r="C50" s="188"/>
      <c r="D50" s="188"/>
      <c r="E50" s="188"/>
      <c r="F50" s="188"/>
      <c r="G50" s="188"/>
      <c r="H50" s="188"/>
      <c r="I50" s="188"/>
      <c r="J50" s="188"/>
      <c r="K50" s="188"/>
      <c r="L50" s="188"/>
      <c r="M50" s="188"/>
      <c r="N50" s="188"/>
    </row>
    <row r="51" spans="2:14" ht="15.75" thickBot="1" x14ac:dyDescent="0.3">
      <c r="B51" s="39"/>
      <c r="C51" s="40"/>
      <c r="D51" s="40"/>
      <c r="E51" s="40" t="s">
        <v>76</v>
      </c>
      <c r="F51" s="40" t="s">
        <v>77</v>
      </c>
      <c r="G51" s="40" t="s">
        <v>78</v>
      </c>
      <c r="H51" s="40" t="s">
        <v>79</v>
      </c>
      <c r="I51" s="40" t="s">
        <v>80</v>
      </c>
      <c r="J51" s="40" t="s">
        <v>81</v>
      </c>
      <c r="K51" s="40" t="s">
        <v>82</v>
      </c>
      <c r="L51" s="40" t="s">
        <v>83</v>
      </c>
      <c r="M51" s="40" t="s">
        <v>84</v>
      </c>
      <c r="N51" s="40" t="s">
        <v>85</v>
      </c>
    </row>
    <row r="52" spans="2:14" ht="24.95" customHeight="1" x14ac:dyDescent="0.25">
      <c r="B52" s="33" t="s">
        <v>91</v>
      </c>
      <c r="C52" s="33"/>
      <c r="D52" s="33"/>
      <c r="E52" s="33">
        <v>0</v>
      </c>
      <c r="F52" s="33">
        <f t="shared" ref="F52:N52" si="9">IF(F48&gt;0,F48,0)</f>
        <v>0</v>
      </c>
      <c r="G52" s="55">
        <f t="shared" si="9"/>
        <v>0</v>
      </c>
      <c r="H52" s="55">
        <f t="shared" si="9"/>
        <v>0</v>
      </c>
      <c r="I52" s="55">
        <f t="shared" si="9"/>
        <v>59116.75</v>
      </c>
      <c r="J52" s="55">
        <f t="shared" si="9"/>
        <v>49894.25</v>
      </c>
      <c r="K52" s="55">
        <f t="shared" si="9"/>
        <v>40696.75</v>
      </c>
      <c r="L52" s="55">
        <f t="shared" si="9"/>
        <v>33366.75</v>
      </c>
      <c r="M52" s="55">
        <f t="shared" si="9"/>
        <v>25551.75</v>
      </c>
      <c r="N52" s="55">
        <f t="shared" si="9"/>
        <v>16593</v>
      </c>
    </row>
    <row r="53" spans="2:14" x14ac:dyDescent="0.25">
      <c r="B53" s="33" t="s">
        <v>92</v>
      </c>
      <c r="C53" s="33"/>
      <c r="D53" s="33"/>
      <c r="E53" s="33">
        <v>0</v>
      </c>
      <c r="F53" s="33">
        <f t="shared" ref="F53:N53" si="10">IF(F48&lt;0,-F48,0)</f>
        <v>3147</v>
      </c>
      <c r="G53" s="55">
        <f t="shared" si="10"/>
        <v>10110.75</v>
      </c>
      <c r="H53" s="55">
        <f t="shared" si="10"/>
        <v>18082.25</v>
      </c>
      <c r="I53" s="55">
        <f t="shared" si="10"/>
        <v>0</v>
      </c>
      <c r="J53" s="55">
        <f t="shared" si="10"/>
        <v>0</v>
      </c>
      <c r="K53" s="55">
        <f t="shared" si="10"/>
        <v>0</v>
      </c>
      <c r="L53" s="55">
        <f t="shared" si="10"/>
        <v>0</v>
      </c>
      <c r="M53" s="55">
        <f t="shared" si="10"/>
        <v>0</v>
      </c>
      <c r="N53" s="55">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on 6/9/2014_x000a_Modified by Del Hawley on 2/16/2015">
      <inputCells r="F22" val="0.5" numFmtId="9"/>
      <inputCells r="F23" val="0.25" numFmtId="9"/>
      <inputCells r="F24" val="0.25" numFmtId="9"/>
    </scenario>
    <scenario name="Normal" locked="1" count="3" user="Del Hawley" comment="Created by Del on 9/22/2011_x000a_Modified by Del on 6/9/2012_x000a_Modified by D Hawley on 9/22/2013_x000a_Modified by Del on 6/9/2014_x000a_Modified by Del Hawley on 2/16/2015">
      <inputCells r="F22" val="0.45" numFmtId="9"/>
      <inputCells r="F23" val="0.2" numFmtId="9"/>
      <inputCells r="F24" val="0.35" numFmtId="9"/>
    </scenario>
    <scenario name="Bad" locked="1" count="3" user="Hawley, Del" comment="Created by Del on 9/22/2011_x000a_Modified by D Hawley on 9/22/2013_x000a_Modified by Del on 6/9/2014_x000a_Modified by Del Hawley on 2/16/2015_x000a_Modified by Hawley, Del on 2/22/2016">
      <inputCells r="F22" val="0.35" numFmtId="9"/>
      <inputCells r="F23" val="0.1" numFmtId="9"/>
      <inputCells r="F24" val="0.5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G28" sqref="G28"/>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201" t="s">
        <v>155</v>
      </c>
      <c r="C2" s="201"/>
      <c r="D2" s="65"/>
      <c r="E2" s="65"/>
      <c r="F2" s="65"/>
      <c r="G2" s="65"/>
    </row>
    <row r="3" spans="2:7" ht="15.75" collapsed="1" x14ac:dyDescent="0.25">
      <c r="B3" s="200"/>
      <c r="C3" s="200"/>
      <c r="D3" s="66" t="s">
        <v>157</v>
      </c>
      <c r="E3" s="66" t="s">
        <v>152</v>
      </c>
      <c r="F3" s="66" t="s">
        <v>153</v>
      </c>
      <c r="G3" s="66" t="s">
        <v>154</v>
      </c>
    </row>
    <row r="4" spans="2:7" ht="146.25" hidden="1" outlineLevel="1" x14ac:dyDescent="0.25">
      <c r="B4" s="202"/>
      <c r="C4" s="202"/>
      <c r="D4" s="60"/>
      <c r="E4" s="68" t="s">
        <v>200</v>
      </c>
      <c r="F4" s="68" t="s">
        <v>201</v>
      </c>
      <c r="G4" s="68" t="s">
        <v>234</v>
      </c>
    </row>
    <row r="5" spans="2:7" x14ac:dyDescent="0.25">
      <c r="B5" s="203" t="s">
        <v>156</v>
      </c>
      <c r="C5" s="203"/>
      <c r="D5" s="64"/>
      <c r="E5" s="64"/>
      <c r="F5" s="64"/>
      <c r="G5" s="64"/>
    </row>
    <row r="6" spans="2:7" outlineLevel="1" x14ac:dyDescent="0.25">
      <c r="B6" s="202"/>
      <c r="C6" s="202" t="s">
        <v>140</v>
      </c>
      <c r="D6" s="61">
        <v>0.35</v>
      </c>
      <c r="E6" s="67">
        <v>0.5</v>
      </c>
      <c r="F6" s="67">
        <v>0.45</v>
      </c>
      <c r="G6" s="67">
        <v>0.35</v>
      </c>
    </row>
    <row r="7" spans="2:7" outlineLevel="1" x14ac:dyDescent="0.25">
      <c r="B7" s="202"/>
      <c r="C7" s="202" t="s">
        <v>141</v>
      </c>
      <c r="D7" s="61">
        <v>0.1</v>
      </c>
      <c r="E7" s="67">
        <v>0.25</v>
      </c>
      <c r="F7" s="67">
        <v>0.2</v>
      </c>
      <c r="G7" s="67">
        <v>0.1</v>
      </c>
    </row>
    <row r="8" spans="2:7" outlineLevel="1" x14ac:dyDescent="0.25">
      <c r="B8" s="202"/>
      <c r="C8" s="202" t="s">
        <v>142</v>
      </c>
      <c r="D8" s="61">
        <v>0.55000000000000004</v>
      </c>
      <c r="E8" s="67">
        <v>0.25</v>
      </c>
      <c r="F8" s="67">
        <v>0.35</v>
      </c>
      <c r="G8" s="67">
        <v>0.55000000000000004</v>
      </c>
    </row>
    <row r="9" spans="2:7" x14ac:dyDescent="0.25">
      <c r="B9" s="203" t="s">
        <v>158</v>
      </c>
      <c r="C9" s="203"/>
      <c r="D9" s="64"/>
      <c r="E9" s="64"/>
      <c r="F9" s="64"/>
      <c r="G9" s="64"/>
    </row>
    <row r="10" spans="2:7" outlineLevel="1" x14ac:dyDescent="0.25">
      <c r="B10" s="202"/>
      <c r="C10" s="202" t="s">
        <v>143</v>
      </c>
      <c r="D10" s="62">
        <v>5647</v>
      </c>
      <c r="E10" s="62">
        <v>6069.25</v>
      </c>
      <c r="F10" s="62">
        <v>5928.5</v>
      </c>
      <c r="G10" s="62">
        <v>5647</v>
      </c>
    </row>
    <row r="11" spans="2:7" outlineLevel="1" x14ac:dyDescent="0.25">
      <c r="B11" s="202"/>
      <c r="C11" s="202" t="s">
        <v>144</v>
      </c>
      <c r="D11" s="62">
        <v>6963.75</v>
      </c>
      <c r="E11" s="62">
        <v>7557.75</v>
      </c>
      <c r="F11" s="62">
        <v>7359.75</v>
      </c>
      <c r="G11" s="62">
        <v>6963.75</v>
      </c>
    </row>
    <row r="12" spans="2:7" outlineLevel="1" x14ac:dyDescent="0.25">
      <c r="B12" s="202"/>
      <c r="C12" s="202" t="s">
        <v>145</v>
      </c>
      <c r="D12" s="62">
        <v>7971.5</v>
      </c>
      <c r="E12" s="62">
        <v>8412.5</v>
      </c>
      <c r="F12" s="62">
        <v>8265.5</v>
      </c>
      <c r="G12" s="62">
        <v>7971.5</v>
      </c>
    </row>
    <row r="13" spans="2:7" outlineLevel="1" x14ac:dyDescent="0.25">
      <c r="B13" s="202"/>
      <c r="C13" s="202" t="s">
        <v>146</v>
      </c>
      <c r="D13" s="62">
        <v>-77199</v>
      </c>
      <c r="E13" s="62">
        <v>-76755</v>
      </c>
      <c r="F13" s="62">
        <v>-76903</v>
      </c>
      <c r="G13" s="62">
        <v>-77199</v>
      </c>
    </row>
    <row r="14" spans="2:7" outlineLevel="1" x14ac:dyDescent="0.25">
      <c r="B14" s="202"/>
      <c r="C14" s="202" t="s">
        <v>147</v>
      </c>
      <c r="D14" s="62">
        <v>9222.5</v>
      </c>
      <c r="E14" s="62">
        <v>9050</v>
      </c>
      <c r="F14" s="62">
        <v>9107.5</v>
      </c>
      <c r="G14" s="62">
        <v>9222.5</v>
      </c>
    </row>
    <row r="15" spans="2:7" outlineLevel="1" x14ac:dyDescent="0.25">
      <c r="B15" s="202"/>
      <c r="C15" s="202" t="s">
        <v>148</v>
      </c>
      <c r="D15" s="62">
        <v>9197.5</v>
      </c>
      <c r="E15" s="62">
        <v>8462.5</v>
      </c>
      <c r="F15" s="62">
        <v>8707.5</v>
      </c>
      <c r="G15" s="62">
        <v>9197.5</v>
      </c>
    </row>
    <row r="16" spans="2:7" outlineLevel="1" x14ac:dyDescent="0.25">
      <c r="B16" s="202"/>
      <c r="C16" s="202" t="s">
        <v>149</v>
      </c>
      <c r="D16" s="62">
        <v>7330</v>
      </c>
      <c r="E16" s="62">
        <v>7270</v>
      </c>
      <c r="F16" s="62">
        <v>7290</v>
      </c>
      <c r="G16" s="62">
        <v>7330</v>
      </c>
    </row>
    <row r="17" spans="2:7" outlineLevel="1" x14ac:dyDescent="0.25">
      <c r="B17" s="202"/>
      <c r="C17" s="202" t="s">
        <v>150</v>
      </c>
      <c r="D17" s="62">
        <v>7815</v>
      </c>
      <c r="E17" s="62">
        <v>8595</v>
      </c>
      <c r="F17" s="62">
        <v>8335</v>
      </c>
      <c r="G17" s="62">
        <v>7815</v>
      </c>
    </row>
    <row r="18" spans="2:7" ht="15.75" outlineLevel="1" thickBot="1" x14ac:dyDescent="0.3">
      <c r="B18" s="204"/>
      <c r="C18" s="204" t="s">
        <v>151</v>
      </c>
      <c r="D18" s="63">
        <v>8958.75</v>
      </c>
      <c r="E18" s="63">
        <v>9750</v>
      </c>
      <c r="F18" s="63">
        <v>9486.25</v>
      </c>
      <c r="G18" s="63">
        <v>8958.75</v>
      </c>
    </row>
    <row r="19" spans="2:7" x14ac:dyDescent="0.25">
      <c r="B19" t="s">
        <v>159</v>
      </c>
    </row>
    <row r="20" spans="2:7" x14ac:dyDescent="0.25">
      <c r="B20" t="s">
        <v>160</v>
      </c>
    </row>
    <row r="21" spans="2:7" x14ac:dyDescent="0.25">
      <c r="B2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zoomScale="115" zoomScaleNormal="115" workbookViewId="0"/>
  </sheetViews>
  <sheetFormatPr defaultRowHeight="15" x14ac:dyDescent="0.25"/>
  <cols>
    <col min="10" max="10" width="17.28515625" customWidth="1"/>
  </cols>
  <sheetData>
    <row r="5" spans="10:19" x14ac:dyDescent="0.25">
      <c r="K5" t="s">
        <v>162</v>
      </c>
      <c r="L5" t="s">
        <v>163</v>
      </c>
      <c r="M5" s="57" t="s">
        <v>164</v>
      </c>
      <c r="N5" s="57" t="s">
        <v>165</v>
      </c>
      <c r="O5" s="57" t="s">
        <v>166</v>
      </c>
      <c r="P5" s="57" t="s">
        <v>167</v>
      </c>
      <c r="Q5" s="57" t="s">
        <v>168</v>
      </c>
      <c r="R5" s="57" t="s">
        <v>169</v>
      </c>
      <c r="S5" s="57" t="s">
        <v>170</v>
      </c>
    </row>
    <row r="6" spans="10:19" x14ac:dyDescent="0.25">
      <c r="J6" t="s">
        <v>172</v>
      </c>
      <c r="K6" s="55">
        <f>-'Prob 2 - 30 Pts '!F52</f>
        <v>0</v>
      </c>
      <c r="L6" s="55">
        <f>-'Prob 2 - 30 Pts '!G52</f>
        <v>0</v>
      </c>
      <c r="M6" s="55">
        <f>-'Prob 2 - 30 Pts '!H52</f>
        <v>0</v>
      </c>
      <c r="N6" s="55">
        <f>-'Prob 2 - 30 Pts '!I52</f>
        <v>-59116.75</v>
      </c>
      <c r="O6" s="55">
        <f>-'Prob 2 - 30 Pts '!J52</f>
        <v>-49894.25</v>
      </c>
      <c r="P6" s="55">
        <f>-'Prob 2 - 30 Pts '!K52</f>
        <v>-40696.75</v>
      </c>
      <c r="Q6" s="55">
        <f>-'Prob 2 - 30 Pts '!L52</f>
        <v>-33366.75</v>
      </c>
      <c r="R6" s="55">
        <f>-'Prob 2 - 30 Pts '!M52</f>
        <v>-25551.75</v>
      </c>
      <c r="S6" s="55">
        <f>-'Prob 2 - 30 Pts '!N52</f>
        <v>-16593</v>
      </c>
    </row>
    <row r="7" spans="10:19" x14ac:dyDescent="0.25">
      <c r="J7" t="s">
        <v>171</v>
      </c>
      <c r="K7" s="55">
        <f>'Prob 2 - 30 Pts '!F53</f>
        <v>3147</v>
      </c>
      <c r="L7" s="55">
        <f>'Prob 2 - 30 Pts '!G53</f>
        <v>10110.75</v>
      </c>
      <c r="M7" s="55">
        <f>'Prob 2 - 30 Pts '!H53</f>
        <v>18082.25</v>
      </c>
      <c r="N7" s="55">
        <f>'Prob 2 - 30 Pts '!I53</f>
        <v>0</v>
      </c>
      <c r="O7" s="55">
        <f>'Prob 2 - 30 Pts '!J53</f>
        <v>0</v>
      </c>
      <c r="P7" s="55">
        <f>'Prob 2 - 30 Pts '!K53</f>
        <v>0</v>
      </c>
      <c r="Q7" s="55">
        <f>'Prob 2 - 30 Pts '!L53</f>
        <v>0</v>
      </c>
      <c r="R7" s="55">
        <f>'Prob 2 - 30 Pts '!M53</f>
        <v>0</v>
      </c>
      <c r="S7" s="55">
        <f>'Prob 2 - 30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8"/>
  <sheetViews>
    <sheetView zoomScale="115" zoomScaleNormal="115" workbookViewId="0"/>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7" ht="86.25" customHeight="1" x14ac:dyDescent="0.25"/>
    <row r="5" spans="2:7" ht="15.75" thickBot="1" x14ac:dyDescent="0.3"/>
    <row r="6" spans="2:7" ht="52.5" customHeight="1" thickBot="1" x14ac:dyDescent="0.3">
      <c r="B6" s="107" t="s">
        <v>182</v>
      </c>
      <c r="C6" s="108" t="s">
        <v>188</v>
      </c>
      <c r="D6" s="108" t="s">
        <v>183</v>
      </c>
      <c r="E6" s="109" t="s">
        <v>184</v>
      </c>
    </row>
    <row r="7" spans="2:7" x14ac:dyDescent="0.25">
      <c r="B7" s="104">
        <v>2001</v>
      </c>
      <c r="C7" s="105">
        <v>8.5</v>
      </c>
      <c r="D7" s="106"/>
      <c r="E7" s="106"/>
    </row>
    <row r="8" spans="2:7" x14ac:dyDescent="0.25">
      <c r="B8" s="100">
        <v>2002</v>
      </c>
      <c r="C8" s="98">
        <v>9.25</v>
      </c>
      <c r="D8" s="99">
        <f>C8/C7-1</f>
        <v>8.8235294117646967E-2</v>
      </c>
      <c r="E8" s="101">
        <f>1+D8</f>
        <v>1.088235294117647</v>
      </c>
    </row>
    <row r="9" spans="2:7" x14ac:dyDescent="0.25">
      <c r="B9" s="100">
        <v>2003</v>
      </c>
      <c r="C9" s="98">
        <v>8.75</v>
      </c>
      <c r="D9" s="99">
        <f t="shared" ref="D9:D19" si="0">C9/C8-1</f>
        <v>-5.4054054054054057E-2</v>
      </c>
      <c r="E9" s="101">
        <f t="shared" ref="E9:E19" si="1">1+D9</f>
        <v>0.94594594594594594</v>
      </c>
    </row>
    <row r="10" spans="2:7" x14ac:dyDescent="0.25">
      <c r="B10" s="100">
        <v>2004</v>
      </c>
      <c r="C10" s="98">
        <v>9.85</v>
      </c>
      <c r="D10" s="99">
        <f t="shared" si="0"/>
        <v>0.12571428571428567</v>
      </c>
      <c r="E10" s="101">
        <f t="shared" si="1"/>
        <v>1.1257142857142857</v>
      </c>
      <c r="G10" s="150"/>
    </row>
    <row r="11" spans="2:7" x14ac:dyDescent="0.25">
      <c r="B11" s="100">
        <v>2005</v>
      </c>
      <c r="C11" s="98">
        <v>10.7</v>
      </c>
      <c r="D11" s="99">
        <f t="shared" si="0"/>
        <v>8.6294416243654748E-2</v>
      </c>
      <c r="E11" s="101">
        <f t="shared" si="1"/>
        <v>1.0862944162436547</v>
      </c>
      <c r="G11" s="150"/>
    </row>
    <row r="12" spans="2:7" x14ac:dyDescent="0.25">
      <c r="B12" s="100">
        <v>2006</v>
      </c>
      <c r="C12" s="98">
        <v>11.35</v>
      </c>
      <c r="D12" s="99">
        <f t="shared" si="0"/>
        <v>6.0747663551401931E-2</v>
      </c>
      <c r="E12" s="101">
        <f t="shared" si="1"/>
        <v>1.0607476635514019</v>
      </c>
      <c r="G12" s="150"/>
    </row>
    <row r="13" spans="2:7" x14ac:dyDescent="0.25">
      <c r="B13" s="100">
        <v>2007</v>
      </c>
      <c r="C13" s="98">
        <v>12.5</v>
      </c>
      <c r="D13" s="99">
        <f t="shared" si="0"/>
        <v>0.10132158590308382</v>
      </c>
      <c r="E13" s="101">
        <f t="shared" si="1"/>
        <v>1.1013215859030838</v>
      </c>
      <c r="G13" s="150"/>
    </row>
    <row r="14" spans="2:7" x14ac:dyDescent="0.25">
      <c r="B14" s="100">
        <v>2008</v>
      </c>
      <c r="C14" s="98">
        <v>13</v>
      </c>
      <c r="D14" s="99">
        <f t="shared" si="0"/>
        <v>4.0000000000000036E-2</v>
      </c>
      <c r="E14" s="101">
        <f t="shared" si="1"/>
        <v>1.04</v>
      </c>
      <c r="G14" s="150"/>
    </row>
    <row r="15" spans="2:7" x14ac:dyDescent="0.25">
      <c r="B15" s="100">
        <v>2009</v>
      </c>
      <c r="C15" s="98">
        <v>8.1999999999999993</v>
      </c>
      <c r="D15" s="99">
        <f t="shared" si="0"/>
        <v>-0.36923076923076925</v>
      </c>
      <c r="E15" s="101">
        <f t="shared" si="1"/>
        <v>0.63076923076923075</v>
      </c>
      <c r="G15" s="150"/>
    </row>
    <row r="16" spans="2:7" x14ac:dyDescent="0.25">
      <c r="B16" s="100">
        <v>2010</v>
      </c>
      <c r="C16" s="98">
        <v>8.5500000000000007</v>
      </c>
      <c r="D16" s="99">
        <f t="shared" si="0"/>
        <v>4.2682926829268553E-2</v>
      </c>
      <c r="E16" s="101">
        <f t="shared" si="1"/>
        <v>1.0426829268292686</v>
      </c>
      <c r="G16" s="150"/>
    </row>
    <row r="17" spans="2:8" x14ac:dyDescent="0.25">
      <c r="B17" s="100">
        <v>2011</v>
      </c>
      <c r="C17" s="98">
        <v>9.6999999999999993</v>
      </c>
      <c r="D17" s="99">
        <f t="shared" si="0"/>
        <v>0.13450292397660801</v>
      </c>
      <c r="E17" s="101">
        <f t="shared" si="1"/>
        <v>1.134502923976608</v>
      </c>
      <c r="G17" s="150"/>
    </row>
    <row r="18" spans="2:8" x14ac:dyDescent="0.25">
      <c r="B18" s="100">
        <v>2012</v>
      </c>
      <c r="C18" s="98">
        <v>11.5</v>
      </c>
      <c r="D18" s="99">
        <f t="shared" si="0"/>
        <v>0.18556701030927836</v>
      </c>
      <c r="E18" s="101">
        <f t="shared" si="1"/>
        <v>1.1855670103092784</v>
      </c>
      <c r="G18" s="150"/>
    </row>
    <row r="19" spans="2:8" x14ac:dyDescent="0.25">
      <c r="B19" s="100">
        <v>213</v>
      </c>
      <c r="C19" s="98">
        <v>11.8</v>
      </c>
      <c r="D19" s="99">
        <f t="shared" si="0"/>
        <v>2.6086956521739202E-2</v>
      </c>
      <c r="E19" s="101">
        <f t="shared" si="1"/>
        <v>1.0260869565217392</v>
      </c>
      <c r="G19" s="150"/>
    </row>
    <row r="20" spans="2:8" s="150" customFormat="1" x14ac:dyDescent="0.25">
      <c r="B20" s="155">
        <v>2014</v>
      </c>
      <c r="C20" s="156">
        <v>12.6</v>
      </c>
      <c r="D20" s="99">
        <f t="shared" ref="D20:D21" si="2">C20/C19-1</f>
        <v>6.7796610169491345E-2</v>
      </c>
      <c r="E20" s="101">
        <f t="shared" ref="E20:E21" si="3">1+D20</f>
        <v>1.0677966101694913</v>
      </c>
    </row>
    <row r="21" spans="2:8" ht="15.75" thickBot="1" x14ac:dyDescent="0.3">
      <c r="B21" s="102">
        <v>2015</v>
      </c>
      <c r="C21" s="103">
        <v>14.8</v>
      </c>
      <c r="D21" s="99">
        <f t="shared" si="2"/>
        <v>0.17460317460317465</v>
      </c>
      <c r="E21" s="101">
        <f t="shared" si="3"/>
        <v>1.1746031746031746</v>
      </c>
      <c r="G21" s="150"/>
    </row>
    <row r="22" spans="2:8" x14ac:dyDescent="0.25">
      <c r="B22" s="110"/>
      <c r="C22" s="111"/>
      <c r="D22" s="111"/>
      <c r="E22" s="112"/>
      <c r="G22" s="205"/>
      <c r="H22" s="205"/>
    </row>
    <row r="23" spans="2:8" x14ac:dyDescent="0.25">
      <c r="B23" s="119" t="s">
        <v>185</v>
      </c>
      <c r="C23" s="113"/>
      <c r="D23" s="113"/>
      <c r="E23" s="114"/>
    </row>
    <row r="24" spans="2:8" ht="15.75" thickBot="1" x14ac:dyDescent="0.3">
      <c r="B24" s="115"/>
      <c r="C24" s="189"/>
      <c r="D24" s="189"/>
      <c r="E24" s="114"/>
      <c r="H24" s="205"/>
    </row>
    <row r="25" spans="2:8" ht="15.75" thickBot="1" x14ac:dyDescent="0.3">
      <c r="B25" s="115"/>
      <c r="C25" s="120">
        <f>GEOMEAN(E8:E21)-1</f>
        <v>4.040649902609772E-2</v>
      </c>
      <c r="D25" s="113" t="s">
        <v>186</v>
      </c>
      <c r="E25" s="114"/>
    </row>
    <row r="26" spans="2:8" ht="15.75" thickBot="1" x14ac:dyDescent="0.3">
      <c r="B26" s="115"/>
      <c r="C26" s="121"/>
      <c r="D26" s="113"/>
      <c r="E26" s="114"/>
    </row>
    <row r="27" spans="2:8" ht="15.75" thickBot="1" x14ac:dyDescent="0.3">
      <c r="B27" s="115"/>
      <c r="C27" s="120">
        <f>(PRODUCT(E8:E21)^(1/14))-1</f>
        <v>4.040649902609772E-2</v>
      </c>
      <c r="D27" s="113" t="s">
        <v>187</v>
      </c>
      <c r="E27" s="114"/>
    </row>
    <row r="28" spans="2:8" ht="15.75" thickBot="1" x14ac:dyDescent="0.3">
      <c r="B28" s="116"/>
      <c r="C28" s="117"/>
      <c r="D28" s="117"/>
      <c r="E28" s="118"/>
    </row>
  </sheetData>
  <mergeCells count="1">
    <mergeCell ref="C24:D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zoomScaleNormal="100" workbookViewId="0"/>
  </sheetViews>
  <sheetFormatPr defaultColWidth="9.140625" defaultRowHeight="15" x14ac:dyDescent="0.25"/>
  <cols>
    <col min="1" max="1" width="4.5703125" style="122" customWidth="1"/>
    <col min="2" max="2" width="35.7109375" style="122" customWidth="1"/>
    <col min="3" max="4" width="18.7109375" style="122" customWidth="1"/>
    <col min="5" max="16384" width="9.140625" style="122"/>
  </cols>
  <sheetData>
    <row r="1" spans="2:4" ht="48" customHeight="1" x14ac:dyDescent="0.25"/>
    <row r="10" spans="2:4" ht="15.75" thickBot="1" x14ac:dyDescent="0.3"/>
    <row r="11" spans="2:4" s="123" customFormat="1" ht="30" customHeight="1" x14ac:dyDescent="0.25">
      <c r="B11" s="190" t="s">
        <v>173</v>
      </c>
      <c r="C11" s="191"/>
      <c r="D11" s="192"/>
    </row>
    <row r="12" spans="2:4" s="123" customFormat="1" ht="30" customHeight="1" x14ac:dyDescent="0.25">
      <c r="B12" s="193" t="s">
        <v>174</v>
      </c>
      <c r="C12" s="194"/>
      <c r="D12" s="195"/>
    </row>
    <row r="13" spans="2:4" s="123" customFormat="1" ht="30" customHeight="1" thickBot="1" x14ac:dyDescent="0.3">
      <c r="B13" s="196" t="s">
        <v>235</v>
      </c>
      <c r="C13" s="197"/>
      <c r="D13" s="198"/>
    </row>
    <row r="14" spans="2:4" ht="50.1" customHeight="1" thickBot="1" x14ac:dyDescent="0.35">
      <c r="B14" s="124"/>
      <c r="C14" s="147" t="s">
        <v>236</v>
      </c>
      <c r="D14" s="148" t="s">
        <v>205</v>
      </c>
    </row>
    <row r="15" spans="2:4" ht="17.25" customHeight="1" x14ac:dyDescent="0.25">
      <c r="B15" s="125" t="s">
        <v>12</v>
      </c>
      <c r="C15" s="135">
        <v>3850000</v>
      </c>
      <c r="D15" s="126">
        <v>3432000</v>
      </c>
    </row>
    <row r="16" spans="2:4" ht="17.25" x14ac:dyDescent="0.4">
      <c r="B16" s="127" t="s">
        <v>175</v>
      </c>
      <c r="C16" s="71">
        <v>3250000</v>
      </c>
      <c r="D16" s="72">
        <v>2864000</v>
      </c>
    </row>
    <row r="17" spans="2:7" x14ac:dyDescent="0.25">
      <c r="B17" s="128" t="s">
        <v>14</v>
      </c>
      <c r="C17" s="136">
        <v>600000</v>
      </c>
      <c r="D17" s="129">
        <v>568000</v>
      </c>
    </row>
    <row r="18" spans="2:7" x14ac:dyDescent="0.25">
      <c r="B18" s="130" t="s">
        <v>2</v>
      </c>
      <c r="C18" s="70">
        <v>330300</v>
      </c>
      <c r="D18" s="69">
        <v>240000</v>
      </c>
    </row>
    <row r="19" spans="2:7" x14ac:dyDescent="0.25">
      <c r="B19" s="130" t="s">
        <v>3</v>
      </c>
      <c r="C19" s="70">
        <v>100000</v>
      </c>
      <c r="D19" s="69">
        <v>100000</v>
      </c>
    </row>
    <row r="20" spans="2:7" ht="17.25" x14ac:dyDescent="0.4">
      <c r="B20" s="127" t="s">
        <v>46</v>
      </c>
      <c r="C20" s="71">
        <v>20000</v>
      </c>
      <c r="D20" s="72">
        <v>18900</v>
      </c>
    </row>
    <row r="21" spans="2:7" x14ac:dyDescent="0.25">
      <c r="B21" s="128" t="s">
        <v>15</v>
      </c>
      <c r="C21" s="136">
        <v>149700</v>
      </c>
      <c r="D21" s="129">
        <v>209100</v>
      </c>
    </row>
    <row r="22" spans="2:7" ht="17.25" x14ac:dyDescent="0.4">
      <c r="B22" s="127" t="s">
        <v>5</v>
      </c>
      <c r="C22" s="71">
        <v>76000</v>
      </c>
      <c r="D22" s="72">
        <v>62500</v>
      </c>
    </row>
    <row r="23" spans="2:7" x14ac:dyDescent="0.25">
      <c r="B23" s="128" t="s">
        <v>16</v>
      </c>
      <c r="C23" s="136">
        <v>73700</v>
      </c>
      <c r="D23" s="129">
        <v>146600</v>
      </c>
      <c r="F23" s="55"/>
      <c r="G23" s="55"/>
    </row>
    <row r="24" spans="2:7" ht="17.25" x14ac:dyDescent="0.4">
      <c r="B24" s="127" t="s">
        <v>17</v>
      </c>
      <c r="C24" s="71">
        <v>29480</v>
      </c>
      <c r="D24" s="72">
        <v>58640</v>
      </c>
    </row>
    <row r="25" spans="2:7" ht="17.25" x14ac:dyDescent="0.4">
      <c r="B25" s="131" t="s">
        <v>18</v>
      </c>
      <c r="C25" s="137">
        <v>44220</v>
      </c>
      <c r="D25" s="132">
        <v>87960</v>
      </c>
    </row>
    <row r="26" spans="2:7" ht="6" customHeight="1" thickBot="1" x14ac:dyDescent="0.3">
      <c r="B26" s="133"/>
      <c r="C26" s="138"/>
      <c r="D26" s="134"/>
    </row>
    <row r="27" spans="2:7" ht="30" customHeight="1" thickBot="1" x14ac:dyDescent="0.3">
      <c r="B27" s="141" t="s">
        <v>189</v>
      </c>
      <c r="C27" s="139">
        <f>C17/C15</f>
        <v>0.15584415584415584</v>
      </c>
      <c r="D27" s="140">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
  <sheetViews>
    <sheetView workbookViewId="0"/>
  </sheetViews>
  <sheetFormatPr defaultColWidth="8.85546875" defaultRowHeight="15" x14ac:dyDescent="0.25"/>
  <cols>
    <col min="1" max="2" width="3.85546875" style="171" customWidth="1"/>
    <col min="3" max="3" width="10.42578125" style="171" customWidth="1"/>
    <col min="4" max="4" width="2.85546875" style="171" customWidth="1"/>
    <col min="5" max="5" width="2.7109375" style="171" customWidth="1"/>
    <col min="6" max="6" width="6" style="154" customWidth="1"/>
    <col min="7" max="16384" width="8.85546875" style="171"/>
  </cols>
  <sheetData>
    <row r="2" spans="2:17" ht="139.5" customHeight="1" x14ac:dyDescent="0.25"/>
    <row r="3" spans="2:17" ht="15.75" thickBot="1" x14ac:dyDescent="0.3">
      <c r="B3" s="172"/>
      <c r="C3" s="142"/>
      <c r="D3" s="172"/>
      <c r="E3" s="172"/>
      <c r="F3" s="143"/>
      <c r="G3" s="172"/>
      <c r="H3" s="172"/>
      <c r="I3" s="172"/>
      <c r="J3" s="172"/>
      <c r="K3" s="172"/>
      <c r="L3" s="172"/>
      <c r="M3" s="172"/>
      <c r="N3" s="172"/>
      <c r="O3" s="172"/>
      <c r="P3" s="172"/>
      <c r="Q3" s="172"/>
    </row>
    <row r="4" spans="2:17" ht="103.15" customHeight="1" thickBot="1" x14ac:dyDescent="0.3">
      <c r="B4" s="144"/>
      <c r="C4" s="145" t="s">
        <v>123</v>
      </c>
      <c r="D4" s="199" t="s">
        <v>127</v>
      </c>
      <c r="E4" s="199"/>
      <c r="F4" s="199"/>
      <c r="G4" s="199"/>
      <c r="H4" s="199"/>
      <c r="I4" s="199"/>
      <c r="J4" s="199"/>
      <c r="K4" s="199"/>
      <c r="L4" s="199"/>
      <c r="M4" s="199"/>
      <c r="N4" s="199"/>
      <c r="O4" s="144"/>
      <c r="P4" s="144"/>
      <c r="Q4" s="144"/>
    </row>
    <row r="5" spans="2:17" ht="15.75" thickBot="1" x14ac:dyDescent="0.3"/>
    <row r="6" spans="2:17" ht="15.75" thickBot="1" x14ac:dyDescent="0.3">
      <c r="C6" s="176" t="s">
        <v>198</v>
      </c>
      <c r="D6" s="152" t="s">
        <v>206</v>
      </c>
    </row>
    <row r="7" spans="2:17" ht="8.4499999999999993" customHeight="1" x14ac:dyDescent="0.25">
      <c r="C7" s="174"/>
      <c r="D7" s="152"/>
    </row>
    <row r="8" spans="2:17" ht="14.25" customHeight="1" x14ac:dyDescent="0.25">
      <c r="C8" s="174"/>
      <c r="D8" s="151" t="s">
        <v>207</v>
      </c>
    </row>
    <row r="9" spans="2:17" x14ac:dyDescent="0.25">
      <c r="C9" s="174"/>
      <c r="D9" s="151" t="s">
        <v>191</v>
      </c>
    </row>
    <row r="10" spans="2:17" x14ac:dyDescent="0.25">
      <c r="C10" s="174"/>
      <c r="D10" s="151" t="s">
        <v>192</v>
      </c>
    </row>
    <row r="11" spans="2:17" x14ac:dyDescent="0.25">
      <c r="C11" s="174"/>
      <c r="D11" s="151" t="s">
        <v>193</v>
      </c>
    </row>
    <row r="12" spans="2:17" x14ac:dyDescent="0.25">
      <c r="C12" s="174"/>
      <c r="D12" s="151" t="s">
        <v>122</v>
      </c>
    </row>
    <row r="13" spans="2:17" ht="15.75" thickBot="1" x14ac:dyDescent="0.3">
      <c r="C13" s="174"/>
    </row>
    <row r="14" spans="2:17" ht="15.75" thickBot="1" x14ac:dyDescent="0.3">
      <c r="C14" s="153" t="s">
        <v>208</v>
      </c>
      <c r="D14" s="152" t="s">
        <v>177</v>
      </c>
    </row>
    <row r="15" spans="2:17" ht="9.6" customHeight="1" x14ac:dyDescent="0.25">
      <c r="D15" s="152"/>
    </row>
    <row r="16" spans="2:17" x14ac:dyDescent="0.25">
      <c r="D16" s="151" t="s">
        <v>202</v>
      </c>
    </row>
    <row r="17" spans="2:17" x14ac:dyDescent="0.25">
      <c r="D17" s="151" t="s">
        <v>209</v>
      </c>
    </row>
    <row r="18" spans="2:17" x14ac:dyDescent="0.25">
      <c r="D18" s="151" t="s">
        <v>210</v>
      </c>
    </row>
    <row r="19" spans="2:17" x14ac:dyDescent="0.25">
      <c r="D19" s="151" t="s">
        <v>178</v>
      </c>
    </row>
    <row r="20" spans="2:17" x14ac:dyDescent="0.25">
      <c r="D20" s="151" t="s">
        <v>179</v>
      </c>
    </row>
    <row r="21" spans="2:17" ht="15.75" thickBot="1" x14ac:dyDescent="0.3">
      <c r="D21" s="151"/>
    </row>
    <row r="22" spans="2:17" ht="15.75" thickBot="1" x14ac:dyDescent="0.3">
      <c r="C22" s="153" t="s">
        <v>211</v>
      </c>
      <c r="D22" s="152" t="s">
        <v>212</v>
      </c>
    </row>
    <row r="23" spans="2:17" x14ac:dyDescent="0.25">
      <c r="C23" s="174"/>
      <c r="D23" s="152"/>
    </row>
    <row r="24" spans="2:17" x14ac:dyDescent="0.25">
      <c r="C24" s="174"/>
      <c r="D24" s="151" t="s">
        <v>203</v>
      </c>
    </row>
    <row r="25" spans="2:17" x14ac:dyDescent="0.25">
      <c r="C25" s="174"/>
      <c r="D25" s="151" t="s">
        <v>213</v>
      </c>
    </row>
    <row r="26" spans="2:17" x14ac:dyDescent="0.25">
      <c r="C26" s="174"/>
      <c r="D26" s="151" t="s">
        <v>194</v>
      </c>
    </row>
    <row r="27" spans="2:17" x14ac:dyDescent="0.25">
      <c r="C27" s="174"/>
      <c r="D27" s="151" t="s">
        <v>214</v>
      </c>
    </row>
    <row r="28" spans="2:17" x14ac:dyDescent="0.25">
      <c r="C28" s="174"/>
      <c r="D28" s="151" t="s">
        <v>124</v>
      </c>
    </row>
    <row r="29" spans="2:17" ht="15.75" thickBot="1" x14ac:dyDescent="0.3">
      <c r="B29" s="172"/>
      <c r="C29" s="142"/>
      <c r="D29" s="146"/>
      <c r="E29" s="172"/>
      <c r="F29" s="143"/>
      <c r="G29" s="172"/>
      <c r="H29" s="172"/>
      <c r="I29" s="172"/>
      <c r="J29" s="172"/>
      <c r="K29" s="172"/>
      <c r="L29" s="172"/>
      <c r="M29" s="172"/>
      <c r="N29" s="172"/>
      <c r="O29" s="172"/>
      <c r="P29" s="172"/>
      <c r="Q29" s="172"/>
    </row>
    <row r="30" spans="2:17" ht="121.15" customHeight="1" thickBot="1" x14ac:dyDescent="0.3">
      <c r="B30" s="144"/>
      <c r="C30" s="145" t="s">
        <v>125</v>
      </c>
      <c r="D30" s="199" t="s">
        <v>128</v>
      </c>
      <c r="E30" s="199"/>
      <c r="F30" s="199"/>
      <c r="G30" s="199"/>
      <c r="H30" s="199"/>
      <c r="I30" s="199"/>
      <c r="J30" s="199"/>
      <c r="K30" s="199"/>
      <c r="L30" s="199"/>
      <c r="M30" s="199"/>
      <c r="N30" s="199"/>
      <c r="O30" s="144"/>
      <c r="P30" s="144"/>
      <c r="Q30" s="144"/>
    </row>
    <row r="31" spans="2:17" ht="15.75" thickBot="1" x14ac:dyDescent="0.3"/>
    <row r="32" spans="2:17" ht="15.75" thickBot="1" x14ac:dyDescent="0.3">
      <c r="C32" s="153" t="b">
        <v>1</v>
      </c>
      <c r="D32" s="171" t="s">
        <v>204</v>
      </c>
    </row>
    <row r="33" spans="3:4" ht="15.75" thickBot="1" x14ac:dyDescent="0.3"/>
    <row r="34" spans="3:4" ht="15.75" thickBot="1" x14ac:dyDescent="0.3">
      <c r="C34" s="153" t="b">
        <v>0</v>
      </c>
      <c r="D34" s="171" t="s">
        <v>215</v>
      </c>
    </row>
    <row r="35" spans="3:4" x14ac:dyDescent="0.25">
      <c r="C35" s="174"/>
      <c r="D35" s="171" t="s">
        <v>216</v>
      </c>
    </row>
    <row r="36" spans="3:4" ht="15.75" thickBot="1" x14ac:dyDescent="0.3"/>
    <row r="37" spans="3:4" ht="15.75" thickBot="1" x14ac:dyDescent="0.3">
      <c r="C37" s="153" t="b">
        <v>1</v>
      </c>
      <c r="D37" s="171" t="s">
        <v>217</v>
      </c>
    </row>
    <row r="38" spans="3:4" x14ac:dyDescent="0.25">
      <c r="C38" s="174"/>
    </row>
    <row r="39" spans="3:4" ht="7.5" customHeight="1" thickBot="1" x14ac:dyDescent="0.3">
      <c r="C39" s="174"/>
    </row>
    <row r="40" spans="3:4" ht="15.75" thickBot="1" x14ac:dyDescent="0.3">
      <c r="C40" s="153" t="b">
        <v>0</v>
      </c>
      <c r="D40" s="171" t="s">
        <v>218</v>
      </c>
    </row>
    <row r="41" spans="3:4" x14ac:dyDescent="0.25">
      <c r="D41" s="171" t="s">
        <v>126</v>
      </c>
    </row>
    <row r="42" spans="3:4" ht="15.75" thickBot="1" x14ac:dyDescent="0.3">
      <c r="C42" s="174"/>
    </row>
    <row r="43" spans="3:4" ht="15.75" thickBot="1" x14ac:dyDescent="0.3">
      <c r="C43" s="153" t="b">
        <v>1</v>
      </c>
      <c r="D43" s="171" t="s">
        <v>219</v>
      </c>
    </row>
    <row r="44" spans="3:4" x14ac:dyDescent="0.25">
      <c r="D44" s="171" t="s">
        <v>180</v>
      </c>
    </row>
    <row r="45" spans="3:4" ht="9" customHeight="1" thickBot="1" x14ac:dyDescent="0.3"/>
    <row r="46" spans="3:4" ht="15.75" thickBot="1" x14ac:dyDescent="0.3">
      <c r="C46" s="153" t="b">
        <v>0</v>
      </c>
      <c r="D46" s="171" t="s">
        <v>220</v>
      </c>
    </row>
    <row r="47" spans="3:4" ht="15.75" thickBot="1" x14ac:dyDescent="0.3">
      <c r="C47" s="174"/>
    </row>
    <row r="48" spans="3:4" ht="15.75" thickBot="1" x14ac:dyDescent="0.3">
      <c r="C48" s="153" t="b">
        <v>0</v>
      </c>
      <c r="D48" s="171" t="s">
        <v>221</v>
      </c>
    </row>
    <row r="49" spans="2:17" ht="15.75" thickBot="1" x14ac:dyDescent="0.3"/>
    <row r="50" spans="2:17" ht="15.75" thickBot="1" x14ac:dyDescent="0.3">
      <c r="C50" s="153" t="b">
        <v>1</v>
      </c>
      <c r="D50" s="171" t="s">
        <v>222</v>
      </c>
    </row>
    <row r="51" spans="2:17" ht="15.75" thickBot="1" x14ac:dyDescent="0.3"/>
    <row r="52" spans="2:17" ht="15.75" thickBot="1" x14ac:dyDescent="0.3">
      <c r="C52" s="153" t="b">
        <v>1</v>
      </c>
      <c r="D52" s="86" t="s">
        <v>223</v>
      </c>
    </row>
    <row r="53" spans="2:17" x14ac:dyDescent="0.25">
      <c r="D53" s="171" t="s">
        <v>129</v>
      </c>
    </row>
    <row r="54" spans="2:17" ht="15.75" thickBot="1" x14ac:dyDescent="0.3"/>
    <row r="55" spans="2:17" ht="15.75" thickBot="1" x14ac:dyDescent="0.3">
      <c r="C55" s="175" t="b">
        <v>1</v>
      </c>
      <c r="D55" s="171" t="s">
        <v>195</v>
      </c>
      <c r="E55" s="174"/>
      <c r="F55" s="171"/>
    </row>
    <row r="56" spans="2:17" x14ac:dyDescent="0.25">
      <c r="D56" s="171" t="s">
        <v>190</v>
      </c>
      <c r="E56" s="174"/>
      <c r="F56" s="171"/>
    </row>
    <row r="57" spans="2:17" ht="15.75" thickBot="1" x14ac:dyDescent="0.3"/>
    <row r="58" spans="2:17" ht="15.75" thickBot="1" x14ac:dyDescent="0.3">
      <c r="C58" s="175" t="b">
        <v>0</v>
      </c>
      <c r="D58" s="86" t="s">
        <v>224</v>
      </c>
      <c r="E58" s="174"/>
      <c r="F58" s="171"/>
    </row>
    <row r="59" spans="2:17" x14ac:dyDescent="0.25">
      <c r="D59" s="171" t="s">
        <v>225</v>
      </c>
      <c r="E59" s="174"/>
      <c r="F59" s="171"/>
    </row>
    <row r="60" spans="2:17" ht="15.75" thickBot="1" x14ac:dyDescent="0.3"/>
    <row r="61" spans="2:17" ht="15.75" thickBot="1" x14ac:dyDescent="0.3">
      <c r="C61" s="175" t="b">
        <v>1</v>
      </c>
      <c r="D61" s="86" t="s">
        <v>196</v>
      </c>
      <c r="E61" s="174"/>
      <c r="F61" s="171"/>
    </row>
    <row r="62" spans="2:17" x14ac:dyDescent="0.25">
      <c r="D62" s="171" t="s">
        <v>197</v>
      </c>
      <c r="E62" s="174"/>
      <c r="F62" s="171"/>
    </row>
    <row r="63" spans="2:17" ht="15.75" thickBot="1" x14ac:dyDescent="0.3">
      <c r="B63" s="172"/>
      <c r="C63" s="172"/>
      <c r="D63" s="172"/>
      <c r="E63" s="172"/>
      <c r="F63" s="143"/>
      <c r="G63" s="172"/>
      <c r="H63" s="172"/>
      <c r="I63" s="172"/>
      <c r="J63" s="172"/>
      <c r="K63" s="172"/>
      <c r="L63" s="172"/>
      <c r="M63" s="172"/>
      <c r="N63" s="172"/>
      <c r="O63" s="172"/>
      <c r="P63" s="172"/>
      <c r="Q63" s="172"/>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C1" zoomScale="115" zoomScaleNormal="115" workbookViewId="0">
      <selection activeCell="J22" sqref="J22:J23"/>
    </sheetView>
  </sheetViews>
  <sheetFormatPr defaultRowHeight="15" x14ac:dyDescent="0.25"/>
  <sheetData>
    <row r="2" spans="2:3" ht="21" x14ac:dyDescent="0.35">
      <c r="B2" s="92" t="s">
        <v>181</v>
      </c>
      <c r="C2" s="88"/>
    </row>
    <row r="3" spans="2:3" ht="15.75" thickBot="1" x14ac:dyDescent="0.3">
      <c r="B3" s="88"/>
      <c r="C3" s="88"/>
    </row>
    <row r="4" spans="2:3" x14ac:dyDescent="0.25">
      <c r="B4" s="93">
        <v>1</v>
      </c>
      <c r="C4" s="89" t="str">
        <f>'MC-TF 20 Pts'!C6</f>
        <v>B</v>
      </c>
    </row>
    <row r="5" spans="2:3" x14ac:dyDescent="0.25">
      <c r="B5" s="94">
        <v>2</v>
      </c>
      <c r="C5" s="90" t="str">
        <f>'MC-TF 20 Pts'!C14</f>
        <v>D</v>
      </c>
    </row>
    <row r="6" spans="2:3" ht="15.75" thickBot="1" x14ac:dyDescent="0.3">
      <c r="B6" s="95">
        <v>3</v>
      </c>
      <c r="C6" s="91" t="str">
        <f>'MC-TF 20 Pts'!C22</f>
        <v>E</v>
      </c>
    </row>
    <row r="7" spans="2:3" x14ac:dyDescent="0.25">
      <c r="B7" s="97">
        <v>4</v>
      </c>
      <c r="C7" s="96" t="b">
        <f>'MC-TF 20 Pts'!C32</f>
        <v>1</v>
      </c>
    </row>
    <row r="8" spans="2:3" x14ac:dyDescent="0.25">
      <c r="B8" s="94">
        <v>5</v>
      </c>
      <c r="C8" s="96" t="b">
        <f>'MC-TF 20 Pts'!C34</f>
        <v>0</v>
      </c>
    </row>
    <row r="9" spans="2:3" x14ac:dyDescent="0.25">
      <c r="B9" s="94">
        <v>6</v>
      </c>
      <c r="C9" s="96" t="b">
        <f>'MC-TF 20 Pts'!C37</f>
        <v>1</v>
      </c>
    </row>
    <row r="10" spans="2:3" x14ac:dyDescent="0.25">
      <c r="B10" s="94">
        <v>7</v>
      </c>
      <c r="C10" s="90" t="b">
        <f>'MC-TF 20 Pts'!C40</f>
        <v>0</v>
      </c>
    </row>
    <row r="11" spans="2:3" x14ac:dyDescent="0.25">
      <c r="B11" s="94">
        <v>8</v>
      </c>
      <c r="C11" s="90" t="b">
        <f>'MC-TF 20 Pts'!C43</f>
        <v>1</v>
      </c>
    </row>
    <row r="12" spans="2:3" x14ac:dyDescent="0.25">
      <c r="B12" s="94">
        <v>9</v>
      </c>
      <c r="C12" s="90" t="b">
        <f>'MC-TF 20 Pts'!C46</f>
        <v>0</v>
      </c>
    </row>
    <row r="13" spans="2:3" x14ac:dyDescent="0.25">
      <c r="B13" s="94">
        <v>10</v>
      </c>
      <c r="C13" s="90" t="b">
        <f>'MC-TF 20 Pts'!C48</f>
        <v>0</v>
      </c>
    </row>
    <row r="14" spans="2:3" x14ac:dyDescent="0.25">
      <c r="B14" s="94">
        <v>11</v>
      </c>
      <c r="C14" s="90" t="b">
        <f>'MC-TF 20 Pts'!C50</f>
        <v>1</v>
      </c>
    </row>
    <row r="15" spans="2:3" x14ac:dyDescent="0.25">
      <c r="B15" s="94">
        <v>12</v>
      </c>
      <c r="C15" s="90" t="b">
        <f>'MC-TF 20 Pts'!C52</f>
        <v>1</v>
      </c>
    </row>
    <row r="16" spans="2:3" x14ac:dyDescent="0.25">
      <c r="B16" s="94">
        <v>13</v>
      </c>
      <c r="C16" s="90" t="b">
        <f>'MC-TF 20 Pts'!C55</f>
        <v>1</v>
      </c>
    </row>
    <row r="17" spans="2:3" x14ac:dyDescent="0.25">
      <c r="B17" s="94">
        <v>14</v>
      </c>
      <c r="C17" s="90" t="b">
        <f>'MC-TF 20 Pts'!C58</f>
        <v>0</v>
      </c>
    </row>
    <row r="18" spans="2:3" ht="15.75" thickBot="1" x14ac:dyDescent="0.3">
      <c r="B18" s="95">
        <v>15</v>
      </c>
      <c r="C18" s="87" t="b">
        <f>'MC-TF 20 Pts'!C61</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2 - 30 Pts </vt:lpstr>
      <vt:lpstr>Scenario Summary</vt:lpstr>
      <vt:lpstr>Prob 3 - 8 Pts</vt:lpstr>
      <vt:lpstr>Prob 4 - 6 Pts</vt:lpstr>
      <vt:lpstr>Prob 5 - 6 Pts</vt:lpstr>
      <vt:lpstr>MC-TF 20 Pts</vt:lpstr>
      <vt:lpstr>Sheet3</vt:lpstr>
      <vt:lpstr>Collect0</vt:lpstr>
      <vt:lpstr>Collect1</vt:lpstr>
      <vt:lpstr>Collect2</vt:lpstr>
      <vt:lpstr>NCF</vt:lpstr>
      <vt:lpstr>'Prob 1 - 30 Pts'!Print_Area</vt:lpstr>
      <vt:lpstr>'Prob 2 - 30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2016-02-22T20:53:48Z</dcterms:modified>
</cp:coreProperties>
</file>