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24226"/>
  <mc:AlternateContent xmlns:mc="http://schemas.openxmlformats.org/markup-compatibility/2006">
    <mc:Choice Requires="x15">
      <x15ac:absPath xmlns:x15ac="http://schemas.microsoft.com/office/spreadsheetml/2010/11/ac" url="C:\Users\dhawley\Dropbox\Class\Spring 18\Exam 1\"/>
    </mc:Choice>
  </mc:AlternateContent>
  <xr:revisionPtr revIDLastSave="0" documentId="13_ncr:1_{967C591A-F62B-4E13-A5D6-2ABBC75DE2A1}" xr6:coauthVersionLast="34" xr6:coauthVersionMax="34" xr10:uidLastSave="{00000000-0000-0000-0000-000000000000}"/>
  <bookViews>
    <workbookView xWindow="2640" yWindow="645" windowWidth="20115" windowHeight="7935" tabRatio="887" xr2:uid="{00000000-000D-0000-FFFF-FFFF00000000}"/>
  </bookViews>
  <sheets>
    <sheet name="INSTRUCTIONS" sheetId="8" r:id="rId1"/>
    <sheet name="Prob 1 - 30 Pts" sheetId="1" r:id="rId2"/>
    <sheet name="Prob 2 - 25 Pts " sheetId="6" r:id="rId3"/>
    <sheet name="Scenario Summary" sheetId="28" r:id="rId4"/>
    <sheet name="Prob 3 - 10 Pts" sheetId="7" r:id="rId5"/>
    <sheet name="Prob 4 - 5 - Pts" sheetId="21" r:id="rId6"/>
    <sheet name="Prob 5 - 5 Pts" sheetId="22" r:id="rId7"/>
    <sheet name="MC-TF - 20 Pts" sheetId="18" r:id="rId8"/>
    <sheet name="Sheet3" sheetId="19" r:id="rId9"/>
  </sheets>
  <definedNames>
    <definedName name="Collect0">'Prob 2 - 25 Pts '!$F$22</definedName>
    <definedName name="Collect1">'Prob 2 - 25 Pts '!$F$23</definedName>
    <definedName name="Collect2">'Prob 2 - 25 Pts '!$F$24</definedName>
    <definedName name="NCF">'Prob 2 - 25 Pts '!$F$43:$N$43</definedName>
    <definedName name="_xlnm.Print_Area" localSheetId="1">'Prob 1 - 30 Pts'!$B$17:$G$67</definedName>
    <definedName name="_xlnm.Print_Area" localSheetId="2">'Prob 2 - 25 Pts '!$B$20:$N$55</definedName>
  </definedNames>
  <calcPr calcId="179017"/>
</workbook>
</file>

<file path=xl/calcChain.xml><?xml version="1.0" encoding="utf-8"?>
<calcChain xmlns="http://schemas.openxmlformats.org/spreadsheetml/2006/main">
  <c r="D24" i="21" l="1"/>
  <c r="D9" i="19" l="1"/>
  <c r="J8" i="19"/>
  <c r="J7" i="19"/>
  <c r="J6" i="19"/>
  <c r="J5" i="19"/>
  <c r="J4" i="19"/>
  <c r="G9" i="19"/>
  <c r="G8" i="19"/>
  <c r="G7" i="19"/>
  <c r="G6" i="19"/>
  <c r="G5" i="19"/>
  <c r="G4" i="19"/>
  <c r="D8" i="19"/>
  <c r="D23" i="21"/>
  <c r="E23" i="21" s="1"/>
  <c r="D81" i="1"/>
  <c r="D90" i="1"/>
  <c r="D22" i="21" l="1"/>
  <c r="E22" i="21" s="1"/>
  <c r="E24" i="21"/>
  <c r="D21" i="21" l="1"/>
  <c r="E21" i="21"/>
  <c r="D76" i="1"/>
  <c r="D20" i="21" l="1"/>
  <c r="E20" i="21" s="1"/>
  <c r="D86" i="1"/>
  <c r="D7" i="19" l="1"/>
  <c r="D6" i="19"/>
  <c r="D5" i="19"/>
  <c r="D4" i="19"/>
  <c r="D27" i="22" l="1"/>
  <c r="C27" i="22"/>
  <c r="D19" i="21"/>
  <c r="E19" i="21" s="1"/>
  <c r="D18" i="21"/>
  <c r="E18" i="21" s="1"/>
  <c r="D17" i="21"/>
  <c r="E17" i="21" s="1"/>
  <c r="D16" i="21"/>
  <c r="E16" i="21" s="1"/>
  <c r="D15" i="21"/>
  <c r="E15" i="21" s="1"/>
  <c r="D14" i="21"/>
  <c r="E14" i="21" s="1"/>
  <c r="D13" i="21"/>
  <c r="E13" i="21" s="1"/>
  <c r="D12" i="21"/>
  <c r="E12" i="21" s="1"/>
  <c r="D11" i="21"/>
  <c r="E11" i="21" s="1"/>
  <c r="D10" i="21"/>
  <c r="E10" i="21" s="1"/>
  <c r="D9" i="21"/>
  <c r="E9" i="21" s="1"/>
  <c r="D8" i="21"/>
  <c r="E8" i="21" s="1"/>
  <c r="C30" i="21" s="1"/>
  <c r="D94" i="1"/>
  <c r="C28" i="21" l="1"/>
  <c r="F46" i="6" l="1"/>
  <c r="G42" i="6" s="1"/>
  <c r="F42" i="6"/>
  <c r="J36" i="6"/>
  <c r="I36" i="6"/>
  <c r="H36" i="6"/>
  <c r="G36" i="6"/>
  <c r="N33" i="6"/>
  <c r="N38" i="6" s="1"/>
  <c r="M33" i="6"/>
  <c r="M38" i="6" s="1"/>
  <c r="L33" i="6"/>
  <c r="L38" i="6" s="1"/>
  <c r="K33" i="6"/>
  <c r="K38" i="6" s="1"/>
  <c r="J33" i="6"/>
  <c r="I33" i="6"/>
  <c r="H33" i="6"/>
  <c r="G33" i="6"/>
  <c r="F33" i="6"/>
  <c r="F38" i="6" s="1"/>
  <c r="N31" i="6"/>
  <c r="M31" i="6"/>
  <c r="L31" i="6"/>
  <c r="K31" i="6"/>
  <c r="J31" i="6"/>
  <c r="I31" i="6"/>
  <c r="H31" i="6"/>
  <c r="G31" i="6"/>
  <c r="F31" i="6"/>
  <c r="D56" i="1"/>
  <c r="D50" i="1"/>
  <c r="D47" i="1"/>
  <c r="D78" i="1" s="1"/>
  <c r="D46" i="1"/>
  <c r="E66" i="1"/>
  <c r="E60" i="1"/>
  <c r="E62" i="1" s="1"/>
  <c r="E52" i="1"/>
  <c r="G30" i="1"/>
  <c r="G28" i="1"/>
  <c r="G27" i="1"/>
  <c r="G26" i="1"/>
  <c r="G24" i="1"/>
  <c r="G23" i="1"/>
  <c r="D30" i="1"/>
  <c r="D28" i="1"/>
  <c r="D27" i="1"/>
  <c r="D26" i="1"/>
  <c r="D23" i="1"/>
  <c r="E25" i="1"/>
  <c r="G25" i="1" s="1"/>
  <c r="E67" i="1" l="1"/>
  <c r="G46" i="6"/>
  <c r="H46" i="6" s="1"/>
  <c r="I46" i="6" s="1"/>
  <c r="J46" i="6" s="1"/>
  <c r="F26" i="1"/>
  <c r="F23" i="1"/>
  <c r="F27" i="1"/>
  <c r="E29" i="1"/>
  <c r="D24" i="1"/>
  <c r="F24" i="1" s="1"/>
  <c r="F30" i="1"/>
  <c r="D60" i="1"/>
  <c r="D62" i="1" s="1"/>
  <c r="D51" i="1"/>
  <c r="D52" i="1" s="1"/>
  <c r="J38" i="6"/>
  <c r="J43" i="6" s="1"/>
  <c r="M43" i="6"/>
  <c r="F43" i="6"/>
  <c r="F44" i="6" s="1"/>
  <c r="F45" i="6" s="1"/>
  <c r="F48" i="6" s="1"/>
  <c r="F52" i="6" s="1"/>
  <c r="K6" i="7" s="1"/>
  <c r="N43" i="6"/>
  <c r="H38" i="6"/>
  <c r="H43" i="6" s="1"/>
  <c r="L43" i="6"/>
  <c r="G38" i="6"/>
  <c r="G43" i="6" s="1"/>
  <c r="G44" i="6" s="1"/>
  <c r="K43" i="6"/>
  <c r="I38" i="6"/>
  <c r="I43" i="6" s="1"/>
  <c r="F28" i="1"/>
  <c r="J42" i="6"/>
  <c r="E54" i="1" l="1"/>
  <c r="E49" i="1" s="1"/>
  <c r="E44" i="1" s="1"/>
  <c r="G44" i="1" s="1"/>
  <c r="G62" i="1"/>
  <c r="H42" i="6"/>
  <c r="H44" i="6" s="1"/>
  <c r="H45" i="6" s="1"/>
  <c r="I42" i="6"/>
  <c r="G45" i="6"/>
  <c r="G48" i="6" s="1"/>
  <c r="G52" i="6" s="1"/>
  <c r="L6" i="7" s="1"/>
  <c r="D25" i="1"/>
  <c r="F25" i="1" s="1"/>
  <c r="G66" i="1"/>
  <c r="G64" i="1"/>
  <c r="G60" i="1"/>
  <c r="G51" i="1"/>
  <c r="G65" i="1"/>
  <c r="G61" i="1"/>
  <c r="G57" i="1"/>
  <c r="G52" i="1"/>
  <c r="G48" i="1"/>
  <c r="G56" i="1"/>
  <c r="G47" i="1"/>
  <c r="G67" i="1"/>
  <c r="G63" i="1"/>
  <c r="G59" i="1"/>
  <c r="G50" i="1"/>
  <c r="G46" i="1"/>
  <c r="G58" i="1"/>
  <c r="G53" i="1"/>
  <c r="G45" i="1"/>
  <c r="E31" i="1"/>
  <c r="G29" i="1"/>
  <c r="F53" i="6"/>
  <c r="K7" i="7" s="1"/>
  <c r="J44" i="6"/>
  <c r="J45" i="6" s="1"/>
  <c r="I44" i="6"/>
  <c r="I45" i="6" s="1"/>
  <c r="K46" i="6"/>
  <c r="K42" i="6"/>
  <c r="K44" i="6" s="1"/>
  <c r="K45" i="6" l="1"/>
  <c r="G54" i="1"/>
  <c r="G49" i="1"/>
  <c r="E32" i="1"/>
  <c r="E33" i="1" s="1"/>
  <c r="G33" i="1" s="1"/>
  <c r="D29" i="1"/>
  <c r="F29" i="1" s="1"/>
  <c r="G31" i="1"/>
  <c r="G53" i="6"/>
  <c r="L7" i="7" s="1"/>
  <c r="H48" i="6"/>
  <c r="I48" i="6" s="1"/>
  <c r="L46" i="6"/>
  <c r="L42" i="6"/>
  <c r="L44" i="6" s="1"/>
  <c r="G32" i="1" l="1"/>
  <c r="D31" i="1"/>
  <c r="F31" i="1" s="1"/>
  <c r="H52" i="6"/>
  <c r="M6" i="7" s="1"/>
  <c r="H53" i="6"/>
  <c r="M7" i="7" s="1"/>
  <c r="L45" i="6"/>
  <c r="J48" i="6"/>
  <c r="I52" i="6"/>
  <c r="N6" i="7" s="1"/>
  <c r="I53" i="6"/>
  <c r="N7" i="7" s="1"/>
  <c r="M46" i="6"/>
  <c r="M42" i="6"/>
  <c r="M44" i="6" s="1"/>
  <c r="M45" i="6" l="1"/>
  <c r="D32" i="1"/>
  <c r="D33" i="1" s="1"/>
  <c r="D65" i="1" s="1"/>
  <c r="K48" i="6"/>
  <c r="J53" i="6"/>
  <c r="O7" i="7" s="1"/>
  <c r="J52" i="6"/>
  <c r="O6" i="7" s="1"/>
  <c r="N46" i="6"/>
  <c r="N42" i="6"/>
  <c r="N44" i="6" s="1"/>
  <c r="F32" i="1" l="1"/>
  <c r="D66" i="1"/>
  <c r="D67" i="1" s="1"/>
  <c r="F33" i="1"/>
  <c r="D35" i="1"/>
  <c r="N45" i="6"/>
  <c r="L48" i="6"/>
  <c r="K52" i="6"/>
  <c r="P6" i="7" s="1"/>
  <c r="K53" i="6"/>
  <c r="P7" i="7" s="1"/>
  <c r="F66" i="1" l="1"/>
  <c r="D54" i="1"/>
  <c r="F67" i="1"/>
  <c r="F48" i="1"/>
  <c r="F52" i="1"/>
  <c r="F61" i="1"/>
  <c r="F57" i="1"/>
  <c r="F58" i="1"/>
  <c r="F45" i="1"/>
  <c r="F60" i="1"/>
  <c r="F62" i="1"/>
  <c r="F59" i="1"/>
  <c r="F47" i="1"/>
  <c r="F64" i="1"/>
  <c r="F63" i="1"/>
  <c r="F51" i="1"/>
  <c r="F53" i="1"/>
  <c r="F46" i="1"/>
  <c r="F56" i="1"/>
  <c r="F50" i="1"/>
  <c r="F65" i="1"/>
  <c r="M48" i="6"/>
  <c r="L52" i="6"/>
  <c r="Q6" i="7" s="1"/>
  <c r="L53" i="6"/>
  <c r="Q7" i="7" s="1"/>
  <c r="F54" i="1" l="1"/>
  <c r="D49" i="1"/>
  <c r="D44" i="1" s="1"/>
  <c r="F44" i="1" s="1"/>
  <c r="N48" i="6"/>
  <c r="M53" i="6"/>
  <c r="R7" i="7" s="1"/>
  <c r="M52" i="6"/>
  <c r="R6" i="7" s="1"/>
  <c r="F49" i="1" l="1"/>
  <c r="N53" i="6"/>
  <c r="S7" i="7" s="1"/>
  <c r="N52" i="6"/>
  <c r="S6" i="7" s="1"/>
</calcChain>
</file>

<file path=xl/sharedStrings.xml><?xml version="1.0" encoding="utf-8"?>
<sst xmlns="http://schemas.openxmlformats.org/spreadsheetml/2006/main" count="288" uniqueCount="238">
  <si>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</si>
  <si>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</si>
  <si>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</si>
  <si>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</si>
  <si>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</si>
  <si>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</si>
  <si>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</si>
  <si>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</si>
  <si>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</si>
  <si>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</si>
  <si>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</si>
  <si>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</si>
  <si>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</si>
  <si>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</si>
  <si>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</si>
  <si>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</si>
  <si>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</si>
  <si>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</si>
  <si>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</si>
  <si>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</si>
  <si>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</si>
  <si>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</si>
  <si>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</si>
  <si>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</si>
  <si>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</si>
  <si>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</si>
  <si>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</si>
  <si>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</si>
  <si>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</si>
  <si>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</si>
  <si>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</si>
  <si>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</si>
  <si>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</si>
  <si>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</si>
  <si>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</si>
  <si>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</si>
  <si>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</si>
  <si>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</si>
  <si>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</si>
  <si>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</si>
  <si>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</si>
  <si>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</si>
  <si>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</si>
  <si>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</si>
  <si>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</si>
  <si>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</si>
  <si>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</si>
  <si>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</si>
  <si>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</si>
  <si>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</si>
  <si>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</si>
  <si>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</si>
  <si>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</si>
  <si>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</si>
  <si>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</si>
  <si>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</si>
  <si>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</si>
  <si>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</si>
  <si>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</si>
  <si>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</si>
  <si>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</si>
  <si>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</si>
  <si>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</si>
  <si>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</si>
  <si>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</si>
  <si>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</si>
  <si>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</si>
  <si>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</si>
  <si>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</si>
  <si>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</si>
  <si>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</si>
  <si>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</si>
  <si>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</si>
  <si>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</si>
  <si>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</si>
  <si>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</si>
  <si>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</si>
  <si>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</si>
  <si>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</si>
  <si>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</si>
  <si>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</si>
  <si>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</si>
  <si>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</si>
  <si>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</si>
  <si>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</si>
  <si>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</si>
  <si>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</si>
  <si>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</si>
  <si>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</si>
  <si>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</si>
  <si>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</si>
  <si>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</si>
  <si>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</si>
  <si>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</si>
  <si>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</si>
  <si>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</si>
  <si>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</si>
  <si>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</si>
  <si>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</si>
  <si>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</si>
  <si>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</si>
  <si>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</si>
  <si>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</si>
  <si>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</si>
  <si>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</si>
  <si>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</si>
  <si>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</si>
  <si>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</si>
  <si>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</si>
  <si>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</si>
  <si>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</si>
  <si>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</si>
  <si>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COMPUTER YOU ARE USING. WITH YOUR NAME IN THE FILENAME.</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</si>
  <si>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</si>
  <si>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</si>
  <si>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</si>
  <si>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</si>
  <si>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</si>
  <si>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</si>
  <si>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</si>
  <si>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</si>
  <si>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</si>
  <si>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</si>
  <si>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</si>
  <si>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</si>
  <si>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</si>
  <si>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</si>
  <si>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</si>
  <si>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</si>
  <si>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</si>
  <si>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</si>
  <si>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</si>
  <si>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</si>
  <si>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</si>
  <si>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June</t>
  </si>
  <si>
    <t>July</t>
  </si>
  <si>
    <t>August</t>
  </si>
  <si>
    <t>Cumulative Adjustment</t>
  </si>
  <si>
    <t>Collect0</t>
  </si>
  <si>
    <t>Collect1</t>
  </si>
  <si>
    <t>Collect2</t>
  </si>
  <si>
    <t>$F$43</t>
  </si>
  <si>
    <t>$G$43</t>
  </si>
  <si>
    <t>$H$43</t>
  </si>
  <si>
    <t>$I$43</t>
  </si>
  <si>
    <t>$J$43</t>
  </si>
  <si>
    <t>$K$43</t>
  </si>
  <si>
    <t>$L$43</t>
  </si>
  <si>
    <t>$M$43</t>
  </si>
  <si>
    <t>$N$43</t>
  </si>
  <si>
    <t>Good</t>
  </si>
  <si>
    <t>Normal</t>
  </si>
  <si>
    <t>Bad</t>
  </si>
  <si>
    <t>Scenario Summary</t>
  </si>
  <si>
    <t>Changing Cells:</t>
  </si>
  <si>
    <t>Current Values:</t>
  </si>
  <si>
    <t>Result Cells:</t>
  </si>
  <si>
    <t>Notes:  Current Values column represents values of changing cells at</t>
  </si>
  <si>
    <t>time Scenario Summary Report was created.  Changing cells for each</t>
  </si>
  <si>
    <t>scenario are highlighted in gray.</t>
  </si>
  <si>
    <t>APR</t>
  </si>
  <si>
    <t>MAY</t>
  </si>
  <si>
    <t>JUN</t>
  </si>
  <si>
    <t>JUL</t>
  </si>
  <si>
    <t>AUG</t>
  </si>
  <si>
    <t>SEP</t>
  </si>
  <si>
    <t>OCT</t>
  </si>
  <si>
    <t>NOV</t>
  </si>
  <si>
    <t>DEC</t>
  </si>
  <si>
    <t>Mkt'l Securities</t>
  </si>
  <si>
    <t>Short-Term Loans</t>
  </si>
  <si>
    <t>Elvis Products International</t>
  </si>
  <si>
    <t>Income Statement</t>
  </si>
  <si>
    <t>Cost of Goods Sold</t>
  </si>
  <si>
    <t>count 20 points toward the total of 100 points for this exam. Follow the instructions</t>
  </si>
  <si>
    <t xml:space="preserve">      a common-sized balance sheet.</t>
  </si>
  <si>
    <t xml:space="preserve"> 11. Net Income is the same as cash flow to shareholders.</t>
  </si>
  <si>
    <t>Do not change anything on this page.</t>
  </si>
  <si>
    <t>Year</t>
  </si>
  <si>
    <t>Annual
Rate of
Return</t>
  </si>
  <si>
    <t>Price
Relative
Return</t>
  </si>
  <si>
    <t>Geometric Mean:</t>
  </si>
  <si>
    <t>using GEOMEAN function</t>
  </si>
  <si>
    <t>using direct calculation</t>
  </si>
  <si>
    <t>Stock
Price</t>
  </si>
  <si>
    <t>Net Profit Margin</t>
  </si>
  <si>
    <t xml:space="preserve">      its total value during the year.</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</si>
  <si>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</si>
  <si>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</si>
  <si>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</si>
  <si>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</si>
  <si>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</si>
  <si>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</si>
  <si>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</si>
  <si>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</si>
  <si>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t>A</t>
  </si>
  <si>
    <r>
      <t>d.</t>
    </r>
    <r>
      <rPr>
        <sz val="7"/>
        <color theme="1"/>
        <rFont val="Times New Roman"/>
        <family val="1"/>
      </rPr>
      <t xml:space="preserve">      </t>
    </r>
    <r>
      <rPr>
        <sz val="11"/>
        <color theme="1"/>
        <rFont val="Calibri"/>
        <family val="2"/>
        <scheme val="minor"/>
      </rPr>
      <t>Debt to assets ratio</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</si>
  <si>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</si>
  <si>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</si>
  <si>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</si>
  <si>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on the balance sheet.</t>
  </si>
  <si>
    <t xml:space="preserve"> 14. The book value of a company's common stock equals Total Assets minus Long Term Debt</t>
  </si>
  <si>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</si>
  <si>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</si>
  <si>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</si>
  <si>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</si>
  <si>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t>D</t>
  </si>
  <si>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</si>
  <si>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</si>
  <si>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</si>
  <si>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</si>
  <si>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t>E</t>
  </si>
  <si>
    <r>
      <t>b.</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</si>
  <si>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Debt to equity ratio</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</si>
  <si>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</si>
  <si>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</si>
  <si>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</si>
  <si>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</si>
  <si>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</si>
  <si>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</si>
  <si>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</si>
  <si>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</si>
  <si>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2016</t>
  </si>
  <si>
    <t>FY
2016</t>
  </si>
  <si>
    <t>Inputs for 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</si>
  <si>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</si>
  <si>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</si>
  <si>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Complete the 2016 and 2017 Income Statements and Balance Sheets using</t>
  </si>
  <si>
    <t xml:space="preserve">appropriately use the 2017 inputs. All computations should reflect any changes </t>
  </si>
  <si>
    <t>Create the common size income statements and balance sheets for 2016 and 2017</t>
  </si>
  <si>
    <t>2017</t>
  </si>
  <si>
    <t>2016-2017</t>
  </si>
  <si>
    <t>For the Year Ended Dec. 31, 2017</t>
  </si>
  <si>
    <t>FY
2017</t>
  </si>
  <si>
    <t xml:space="preserve"> 16. Operating profit margin equals operating profit (EBIT) divided by net income for a period.</t>
  </si>
  <si>
    <t xml:space="preserve"> 17. In the statement of cash flows, the entry for depreciation is always a cash outflow and so should have a negative sign.</t>
  </si>
  <si>
    <t>Created by Del on 9/22/2011
Modified by D Hawley on 9/22/2013
Modified by Del on 6/9/2014
Modified by Del Hawley on 2/16/2015
Modified by Del Hawley on 6/12/2016
Modified by Del Hawley on 2/19/2018
Modified by Hawley, Del on 7/2/2018</t>
  </si>
  <si>
    <t>Created by Del on 9/22/2011
Modified by Del on 6/9/2012
Modified by D Hawley on 9/22/2013
Modified by Del on 6/9/2014
Modified by Del Hawley on 2/16/2015
Modified by Del Hawley on 6/12/2016
Modified by Hawley, Del on 7/2/2018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</si>
</sst>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_(* #,##0.0000_);_(* \(#,##0.0000\);_(* &quot;-&quot;??_);_(@_)"/>
    <numFmt numFmtId="169" formatCode="0.000%"/>
    <numFmt numFmtId="170" formatCode="0.0000%"/>
  </numFmts>
  <fonts count="2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sz val="10"/>
      <color indexed="9"/>
      <name val="Calibri"/>
      <family val="2"/>
      <scheme val="minor"/>
    </font>
    <font>
      <sz val="8"/>
      <color theme="1"/>
      <name val="Calibri"/>
      <family val="2"/>
      <scheme val="minor"/>
    </font>
    <font>
      <sz val="11"/>
      <name val="Times New Roman"/>
      <family val="1"/>
    </font>
    <font>
      <sz val="10"/>
      <name val="MS Sans Serif"/>
      <family val="2"/>
    </font>
    <font>
      <b/>
      <i/>
      <u val="doubleAccounting"/>
      <sz val="11"/>
      <color theme="1"/>
      <name val="Calibri"/>
      <family val="2"/>
      <scheme val="minor"/>
    </font>
    <font>
      <b/>
      <sz val="16"/>
      <color rgb="FFFF0000"/>
      <name val="Calibri"/>
      <family val="2"/>
      <scheme val="minor"/>
    </font>
    <font>
      <b/>
      <sz val="11"/>
      <color theme="0" tint="-4.9989318521683403E-2"/>
      <name val="Calibri"/>
      <family val="2"/>
      <scheme val="minor"/>
    </font>
    <font>
      <sz val="14"/>
      <color theme="1"/>
      <name val="Calibri"/>
      <family val="2"/>
      <scheme val="minor"/>
    </font>
    <font>
      <b/>
      <sz val="18"/>
      <color theme="0" tint="-4.9989318521683403E-2"/>
      <name val="Calibri"/>
      <family val="2"/>
      <scheme val="minor"/>
    </font>
    <font>
      <b/>
      <sz val="20"/>
      <color theme="1"/>
      <name val="Calibri"/>
      <family val="2"/>
      <scheme val="minor"/>
    </font>
    <font>
      <b/>
      <sz val="12"/>
      <color indexed="9"/>
      <name val="Calibri"/>
      <family val="2"/>
      <scheme val="minor"/>
    </font>
    <font>
      <b/>
      <sz val="11"/>
      <color indexed="8"/>
      <name val="Calibri"/>
      <family val="2"/>
      <scheme val="minor"/>
    </font>
    <font>
      <b/>
      <sz val="11"/>
      <color indexed="18"/>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20"/>
        <bgColor indexed="24"/>
      </patternFill>
    </fill>
    <fill>
      <patternFill patternType="solid">
        <fgColor indexed="22"/>
        <bgColor indexed="24"/>
      </patternFill>
    </fill>
    <fill>
      <patternFill patternType="solid">
        <fgColor indexed="22"/>
        <bgColor indexed="7"/>
      </patternFill>
    </fill>
    <fill>
      <patternFill patternType="solid">
        <fgColor rgb="FF00206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
      <patternFill patternType="solid">
        <fgColor theme="8" tint="0.59999389629810485"/>
        <bgColor indexed="64"/>
      </patternFill>
    </fill>
  </fills>
  <borders count="33">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5" fillId="0" borderId="0"/>
    <xf numFmtId="40" fontId="16" fillId="0" borderId="0" applyFont="0" applyFill="0" applyBorder="0" applyAlignment="0" applyProtection="0"/>
  </cellStyleXfs>
  <cellXfs count="212">
    <xf numFmtId="0" fontId="0" fillId="0" borderId="0" xfId="0"/>
    <xf numFmtId="0" fontId="0" fillId="0" borderId="1" xfId="0" applyBorder="1"/>
    <xf numFmtId="0" fontId="0" fillId="0" borderId="0" xfId="0" applyNumberFormat="1"/>
    <xf numFmtId="43" fontId="0" fillId="0" borderId="0" xfId="0" applyNumberFormat="1"/>
    <xf numFmtId="43" fontId="0" fillId="0" borderId="0" xfId="0" applyNumberFormat="1" applyAlignment="1">
      <alignment horizontal="left" indent="2"/>
    </xf>
    <xf numFmtId="166" fontId="2" fillId="0" borderId="0" xfId="2" applyNumberFormat="1" applyFont="1"/>
    <xf numFmtId="43" fontId="0" fillId="0" borderId="1" xfId="0" applyNumberFormat="1" applyBorder="1" applyAlignment="1">
      <alignment horizontal="left" indent="2"/>
    </xf>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4" fontId="0" fillId="0" borderId="3" xfId="2" applyFont="1" applyBorder="1"/>
    <xf numFmtId="43" fontId="8" fillId="0" borderId="0" xfId="0" applyNumberFormat="1" applyFont="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9" fontId="2" fillId="2" borderId="3" xfId="0" applyNumberFormat="1" applyFont="1" applyFill="1" applyBorder="1"/>
    <xf numFmtId="166" fontId="1" fillId="0" borderId="0" xfId="2" applyNumberFormat="1" applyFont="1"/>
    <xf numFmtId="41" fontId="0" fillId="0" borderId="0" xfId="0" applyNumberFormat="1" applyFont="1"/>
    <xf numFmtId="166" fontId="8" fillId="0" borderId="0" xfId="2"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0" borderId="0" xfId="0"/>
    <xf numFmtId="0" fontId="11" fillId="0" borderId="0" xfId="0" applyFont="1"/>
    <xf numFmtId="0" fontId="0" fillId="0" borderId="0" xfId="0"/>
    <xf numFmtId="0" fontId="11" fillId="0" borderId="0" xfId="0" applyFont="1"/>
    <xf numFmtId="43" fontId="0" fillId="0" borderId="0" xfId="0" applyNumberFormat="1"/>
    <xf numFmtId="43" fontId="0" fillId="2" borderId="4" xfId="0" applyNumberFormat="1" applyFill="1" applyBorder="1"/>
    <xf numFmtId="166" fontId="2" fillId="0" borderId="0" xfId="2" applyNumberFormat="1" applyFont="1"/>
    <xf numFmtId="166" fontId="1" fillId="0" borderId="0" xfId="2" applyNumberFormat="1" applyFont="1"/>
    <xf numFmtId="41" fontId="0" fillId="0" borderId="0" xfId="0" applyNumberFormat="1"/>
    <xf numFmtId="41" fontId="3" fillId="0" borderId="0" xfId="0" applyNumberFormat="1" applyFont="1"/>
    <xf numFmtId="0" fontId="0" fillId="0" borderId="0" xfId="0"/>
    <xf numFmtId="43" fontId="0" fillId="2" borderId="0" xfId="0" applyNumberFormat="1" applyFill="1"/>
    <xf numFmtId="43" fontId="8" fillId="2" borderId="0" xfId="0" applyNumberFormat="1" applyFont="1" applyFill="1"/>
    <xf numFmtId="0" fontId="0" fillId="0" borderId="0" xfId="0" applyFill="1" applyBorder="1" applyAlignment="1"/>
    <xf numFmtId="9" fontId="0" fillId="0" borderId="0" xfId="0" applyNumberFormat="1" applyFill="1" applyBorder="1" applyAlignment="1"/>
    <xf numFmtId="41" fontId="0" fillId="0" borderId="0" xfId="0" applyNumberFormat="1" applyFill="1" applyBorder="1" applyAlignment="1"/>
    <xf numFmtId="41" fontId="0" fillId="0" borderId="1" xfId="0" applyNumberFormat="1" applyFill="1" applyBorder="1" applyAlignment="1"/>
    <xf numFmtId="0" fontId="0" fillId="0" borderId="15" xfId="0" applyFill="1" applyBorder="1" applyAlignment="1"/>
    <xf numFmtId="0" fontId="13" fillId="5" borderId="6" xfId="0" applyFont="1" applyFill="1" applyBorder="1" applyAlignment="1">
      <alignment horizontal="right"/>
    </xf>
    <xf numFmtId="0" fontId="13" fillId="5" borderId="14" xfId="0" applyFont="1" applyFill="1" applyBorder="1" applyAlignment="1">
      <alignment horizontal="right"/>
    </xf>
    <xf numFmtId="9" fontId="0" fillId="7" borderId="0" xfId="0" applyNumberFormat="1" applyFill="1" applyBorder="1" applyAlignment="1"/>
    <xf numFmtId="0" fontId="14" fillId="0" borderId="0" xfId="0" applyFont="1" applyFill="1" applyBorder="1" applyAlignment="1">
      <alignment vertical="top" wrapText="1"/>
    </xf>
    <xf numFmtId="41" fontId="0" fillId="0" borderId="9" xfId="0" applyNumberFormat="1" applyBorder="1"/>
    <xf numFmtId="41" fontId="0" fillId="0" borderId="16" xfId="0" applyNumberFormat="1" applyBorder="1"/>
    <xf numFmtId="41" fontId="8" fillId="0" borderId="16" xfId="0" applyNumberFormat="1" applyFont="1" applyBorder="1"/>
    <xf numFmtId="41" fontId="8" fillId="0" borderId="9" xfId="0" applyNumberFormat="1" applyFont="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3" borderId="1" xfId="0" applyNumberFormat="1" applyFill="1" applyBorder="1"/>
    <xf numFmtId="0" fontId="0" fillId="0" borderId="0" xfId="0" applyAlignment="1">
      <alignment horizontal="left"/>
    </xf>
    <xf numFmtId="0" fontId="0" fillId="0" borderId="0" xfId="0"/>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vertical="center"/>
    </xf>
    <xf numFmtId="0" fontId="0" fillId="0" borderId="0" xfId="0" applyAlignment="1">
      <alignment horizontal="center"/>
    </xf>
    <xf numFmtId="0" fontId="0" fillId="2" borderId="3" xfId="0" applyFill="1" applyBorder="1" applyAlignment="1">
      <alignment horizontal="center"/>
    </xf>
    <xf numFmtId="0" fontId="0" fillId="0" borderId="0" xfId="0"/>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18" fillId="0" borderId="0" xfId="0" applyFont="1"/>
    <xf numFmtId="0" fontId="3" fillId="9" borderId="18" xfId="0" applyFont="1" applyFill="1" applyBorder="1" applyAlignment="1">
      <alignment horizontal="center" vertical="center"/>
    </xf>
    <xf numFmtId="0" fontId="3" fillId="9" borderId="20" xfId="0" applyFont="1" applyFill="1" applyBorder="1" applyAlignment="1">
      <alignment horizontal="center" vertical="center"/>
    </xf>
    <xf numFmtId="0" fontId="3" fillId="9" borderId="22" xfId="0" applyFont="1" applyFill="1" applyBorder="1" applyAlignment="1">
      <alignment horizontal="center" vertical="center"/>
    </xf>
    <xf numFmtId="44" fontId="0" fillId="0" borderId="4" xfId="0" applyNumberFormat="1" applyBorder="1"/>
    <xf numFmtId="10" fontId="0" fillId="0" borderId="4" xfId="3" applyNumberFormat="1" applyFont="1" applyBorder="1"/>
    <xf numFmtId="0" fontId="0" fillId="0" borderId="20" xfId="0" applyNumberFormat="1" applyBorder="1" applyAlignment="1">
      <alignment horizontal="center"/>
    </xf>
    <xf numFmtId="168" fontId="0" fillId="0" borderId="21" xfId="1" applyNumberFormat="1" applyFont="1" applyBorder="1"/>
    <xf numFmtId="0" fontId="0" fillId="0" borderId="22" xfId="0" applyNumberFormat="1" applyBorder="1" applyAlignment="1">
      <alignment horizontal="center"/>
    </xf>
    <xf numFmtId="44" fontId="0" fillId="0" borderId="25" xfId="0" applyNumberFormat="1" applyBorder="1"/>
    <xf numFmtId="0" fontId="0" fillId="0" borderId="24" xfId="0" applyNumberFormat="1" applyBorder="1" applyAlignment="1">
      <alignment horizontal="center"/>
    </xf>
    <xf numFmtId="44" fontId="0" fillId="0" borderId="26" xfId="0" applyNumberFormat="1" applyBorder="1"/>
    <xf numFmtId="44" fontId="0" fillId="10" borderId="26" xfId="0" applyNumberFormat="1" applyFill="1" applyBorder="1"/>
    <xf numFmtId="44" fontId="19" fillId="11" borderId="27" xfId="0" applyNumberFormat="1" applyFont="1" applyFill="1" applyBorder="1" applyAlignment="1">
      <alignment horizontal="center" vertical="center"/>
    </xf>
    <xf numFmtId="44" fontId="19" fillId="11" borderId="28" xfId="0" applyNumberFormat="1" applyFont="1" applyFill="1" applyBorder="1" applyAlignment="1">
      <alignment horizontal="center" vertical="center" wrapText="1"/>
    </xf>
    <xf numFmtId="44" fontId="19" fillId="11" borderId="29" xfId="0" applyNumberFormat="1" applyFont="1" applyFill="1" applyBorder="1" applyAlignment="1">
      <alignment horizontal="center" vertical="center" wrapText="1"/>
    </xf>
    <xf numFmtId="44" fontId="0" fillId="0" borderId="5" xfId="0" applyNumberFormat="1" applyBorder="1"/>
    <xf numFmtId="44" fontId="0" fillId="0" borderId="6" xfId="0" applyNumberFormat="1" applyBorder="1"/>
    <xf numFmtId="44" fontId="0" fillId="0" borderId="7" xfId="0" applyNumberFormat="1" applyBorder="1"/>
    <xf numFmtId="44" fontId="0" fillId="0" borderId="0" xfId="0" applyNumberFormat="1" applyBorder="1"/>
    <xf numFmtId="44" fontId="0" fillId="0" borderId="9" xfId="0" applyNumberFormat="1" applyBorder="1"/>
    <xf numFmtId="44" fontId="0" fillId="0" borderId="8" xfId="0" applyNumberFormat="1" applyBorder="1"/>
    <xf numFmtId="44" fontId="0" fillId="0" borderId="10" xfId="0" applyNumberFormat="1" applyBorder="1"/>
    <xf numFmtId="44" fontId="0" fillId="0" borderId="1" xfId="0" applyNumberFormat="1" applyBorder="1"/>
    <xf numFmtId="44" fontId="0" fillId="0" borderId="11" xfId="0" applyNumberFormat="1" applyBorder="1"/>
    <xf numFmtId="44" fontId="3" fillId="0" borderId="8" xfId="0" applyNumberFormat="1" applyFont="1" applyBorder="1" applyAlignment="1">
      <alignment horizontal="left" indent="1"/>
    </xf>
    <xf numFmtId="170" fontId="0" fillId="2" borderId="3" xfId="3" applyNumberFormat="1" applyFont="1" applyFill="1" applyBorder="1" applyAlignment="1">
      <alignment horizontal="center"/>
    </xf>
    <xf numFmtId="44" fontId="0" fillId="0" borderId="0" xfId="0" applyNumberFormat="1" applyBorder="1" applyAlignment="1">
      <alignment horizontal="center"/>
    </xf>
    <xf numFmtId="166" fontId="0" fillId="0" borderId="0" xfId="0" applyNumberFormat="1"/>
    <xf numFmtId="166" fontId="20" fillId="0" borderId="0" xfId="0" applyNumberFormat="1" applyFont="1" applyAlignment="1">
      <alignment vertical="center"/>
    </xf>
    <xf numFmtId="166" fontId="20" fillId="12" borderId="12" xfId="0" applyNumberFormat="1" applyFont="1" applyFill="1" applyBorder="1"/>
    <xf numFmtId="166" fontId="0" fillId="0" borderId="5" xfId="0" applyNumberFormat="1" applyBorder="1" applyAlignment="1">
      <alignment horizontal="left" indent="2"/>
    </xf>
    <xf numFmtId="166" fontId="0" fillId="0" borderId="7" xfId="0" applyNumberFormat="1" applyBorder="1"/>
    <xf numFmtId="166" fontId="8" fillId="0" borderId="8" xfId="0" applyNumberFormat="1" applyFont="1" applyBorder="1" applyAlignment="1">
      <alignment horizontal="left" indent="2"/>
    </xf>
    <xf numFmtId="166" fontId="3" fillId="0" borderId="8" xfId="0" applyNumberFormat="1" applyFont="1" applyBorder="1" applyAlignment="1">
      <alignment horizontal="left" indent="1"/>
    </xf>
    <xf numFmtId="166" fontId="3" fillId="0" borderId="9" xfId="0" applyNumberFormat="1" applyFont="1" applyBorder="1"/>
    <xf numFmtId="166" fontId="0" fillId="0" borderId="8" xfId="0" applyNumberFormat="1" applyBorder="1" applyAlignment="1">
      <alignment horizontal="left" indent="2"/>
    </xf>
    <xf numFmtId="166" fontId="9" fillId="0" borderId="8" xfId="0" applyNumberFormat="1" applyFont="1" applyBorder="1" applyAlignment="1">
      <alignment horizontal="left" indent="1"/>
    </xf>
    <xf numFmtId="166" fontId="17" fillId="0" borderId="9" xfId="0" applyNumberFormat="1" applyFont="1" applyBorder="1"/>
    <xf numFmtId="166" fontId="0" fillId="0" borderId="8" xfId="0" applyNumberFormat="1" applyBorder="1"/>
    <xf numFmtId="166" fontId="0" fillId="0" borderId="9" xfId="0" applyNumberFormat="1" applyBorder="1"/>
    <xf numFmtId="166" fontId="0" fillId="0" borderId="17" xfId="0" applyNumberFormat="1" applyBorder="1"/>
    <xf numFmtId="166" fontId="3" fillId="0" borderId="16" xfId="0" applyNumberFormat="1" applyFont="1" applyBorder="1"/>
    <xf numFmtId="166" fontId="17" fillId="0" borderId="16" xfId="0" applyNumberFormat="1" applyFont="1" applyBorder="1"/>
    <xf numFmtId="166" fontId="0" fillId="0" borderId="16" xfId="0" applyNumberFormat="1" applyBorder="1"/>
    <xf numFmtId="169" fontId="3" fillId="12" borderId="3" xfId="3" applyNumberFormat="1" applyFont="1" applyFill="1" applyBorder="1" applyAlignment="1">
      <alignment horizontal="center" vertical="center"/>
    </xf>
    <xf numFmtId="169" fontId="3" fillId="12" borderId="13" xfId="3" applyNumberFormat="1" applyFont="1" applyFill="1" applyBorder="1" applyAlignment="1">
      <alignment horizontal="center" vertical="center"/>
    </xf>
    <xf numFmtId="166" fontId="3" fillId="12" borderId="12" xfId="0" applyNumberFormat="1" applyFont="1" applyFill="1" applyBorder="1" applyAlignment="1">
      <alignment horizontal="right" vertical="center"/>
    </xf>
    <xf numFmtId="0" fontId="0" fillId="2" borderId="3" xfId="0"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4" fillId="12" borderId="3" xfId="0" applyNumberFormat="1" applyFont="1" applyFill="1" applyBorder="1" applyAlignment="1">
      <alignment horizontal="center" vertical="center" wrapText="1"/>
    </xf>
    <xf numFmtId="0" fontId="4" fillId="12" borderId="13" xfId="0" applyNumberFormat="1" applyFont="1" applyFill="1" applyBorder="1" applyAlignment="1">
      <alignment horizontal="center" vertical="center" wrapText="1"/>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164" fontId="6" fillId="0" borderId="0" xfId="3" applyNumberFormat="1" applyFont="1"/>
    <xf numFmtId="43" fontId="0" fillId="3" borderId="0" xfId="0" applyNumberFormat="1" applyFill="1" applyBorder="1"/>
    <xf numFmtId="0" fontId="0" fillId="0" borderId="0" xfId="0"/>
    <xf numFmtId="44" fontId="0" fillId="0" borderId="0" xfId="0" applyNumberFormat="1"/>
    <xf numFmtId="43" fontId="0" fillId="2" borderId="4" xfId="0" applyNumberFormat="1" applyFill="1" applyBorder="1"/>
    <xf numFmtId="166" fontId="1" fillId="0" borderId="0" xfId="2" applyNumberFormat="1" applyFont="1"/>
    <xf numFmtId="0" fontId="0" fillId="0" borderId="0" xfId="0" applyAlignment="1">
      <alignment horizontal="left" vertical="center" indent="9"/>
    </xf>
    <xf numFmtId="0" fontId="0" fillId="0" borderId="0" xfId="0" applyAlignment="1">
      <alignment horizontal="left" vertical="center" indent="4"/>
    </xf>
    <xf numFmtId="0" fontId="0" fillId="2" borderId="3" xfId="0" applyFill="1" applyBorder="1" applyAlignment="1">
      <alignment horizontal="center"/>
    </xf>
    <xf numFmtId="0" fontId="0" fillId="0" borderId="0" xfId="0" applyAlignment="1">
      <alignment horizontal="left"/>
    </xf>
    <xf numFmtId="0" fontId="0" fillId="0" borderId="30" xfId="0" applyNumberFormat="1" applyBorder="1" applyAlignment="1">
      <alignment horizontal="center"/>
    </xf>
    <xf numFmtId="44" fontId="0" fillId="0" borderId="31" xfId="0" applyNumberFormat="1" applyBorder="1"/>
    <xf numFmtId="0" fontId="0" fillId="0" borderId="0" xfId="0" applyFont="1" applyAlignment="1">
      <alignment horizontal="left" vertical="center" indent="4"/>
    </xf>
    <xf numFmtId="0" fontId="3" fillId="3" borderId="4"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25" xfId="0" applyFont="1" applyFill="1" applyBorder="1" applyAlignment="1">
      <alignment horizontal="center" vertical="center"/>
    </xf>
    <xf numFmtId="43" fontId="7" fillId="0" borderId="0" xfId="0" quotePrefix="1" applyNumberFormat="1" applyFont="1" applyAlignment="1">
      <alignment horizontal="center"/>
    </xf>
    <xf numFmtId="0" fontId="3" fillId="9"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10" borderId="22" xfId="0" applyFont="1" applyFill="1" applyBorder="1" applyAlignment="1">
      <alignment horizontal="center" vertical="center"/>
    </xf>
    <xf numFmtId="0" fontId="3" fillId="10" borderId="25" xfId="0" applyFont="1" applyFill="1" applyBorder="1" applyAlignment="1">
      <alignment horizontal="center" vertical="center"/>
    </xf>
    <xf numFmtId="0" fontId="3" fillId="10" borderId="23"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166" fontId="21" fillId="8" borderId="5" xfId="0" applyNumberFormat="1" applyFont="1" applyFill="1" applyBorder="1" applyAlignment="1">
      <alignment horizontal="center" vertical="center"/>
    </xf>
    <xf numFmtId="166" fontId="21" fillId="8" borderId="6" xfId="0" applyNumberFormat="1" applyFont="1" applyFill="1" applyBorder="1" applyAlignment="1">
      <alignment horizontal="center" vertical="center"/>
    </xf>
    <xf numFmtId="166" fontId="21" fillId="8" borderId="7" xfId="0" applyNumberFormat="1" applyFont="1" applyFill="1" applyBorder="1" applyAlignment="1">
      <alignment horizontal="center" vertical="center"/>
    </xf>
    <xf numFmtId="166" fontId="21" fillId="8" borderId="8" xfId="0" applyNumberFormat="1" applyFont="1" applyFill="1" applyBorder="1" applyAlignment="1">
      <alignment horizontal="center" vertical="center"/>
    </xf>
    <xf numFmtId="166" fontId="21" fillId="8" borderId="0" xfId="0" applyNumberFormat="1" applyFont="1" applyFill="1" applyBorder="1" applyAlignment="1">
      <alignment horizontal="center" vertical="center"/>
    </xf>
    <xf numFmtId="166" fontId="21" fillId="8" borderId="9" xfId="0" applyNumberFormat="1" applyFont="1" applyFill="1" applyBorder="1" applyAlignment="1">
      <alignment horizontal="center" vertical="center"/>
    </xf>
    <xf numFmtId="166" fontId="21" fillId="8" borderId="10" xfId="0" applyNumberFormat="1" applyFont="1" applyFill="1" applyBorder="1" applyAlignment="1">
      <alignment horizontal="center" vertical="center"/>
    </xf>
    <xf numFmtId="166" fontId="21" fillId="8" borderId="1" xfId="0" applyNumberFormat="1" applyFont="1" applyFill="1" applyBorder="1" applyAlignment="1">
      <alignment horizontal="center" vertical="center"/>
    </xf>
    <xf numFmtId="166" fontId="21" fillId="8" borderId="11"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4" fillId="0" borderId="2" xfId="0" applyFont="1" applyBorder="1" applyAlignment="1">
      <alignment horizontal="center" vertical="center" wrapText="1"/>
    </xf>
    <xf numFmtId="0" fontId="23" fillId="5" borderId="14" xfId="0" applyFont="1" applyFill="1" applyBorder="1" applyAlignment="1">
      <alignment horizontal="left"/>
    </xf>
    <xf numFmtId="0" fontId="23" fillId="5" borderId="6" xfId="0" applyFont="1" applyFill="1" applyBorder="1" applyAlignment="1">
      <alignment horizontal="left"/>
    </xf>
    <xf numFmtId="0" fontId="24" fillId="6" borderId="0" xfId="0" applyFont="1" applyFill="1" applyBorder="1" applyAlignment="1">
      <alignment horizontal="left"/>
    </xf>
    <xf numFmtId="0" fontId="25" fillId="6" borderId="15" xfId="0" applyFont="1" applyFill="1" applyBorder="1" applyAlignment="1">
      <alignment horizontal="left"/>
    </xf>
    <xf numFmtId="0" fontId="24" fillId="6" borderId="1" xfId="0" applyFont="1" applyFill="1" applyBorder="1" applyAlignment="1">
      <alignment horizontal="left"/>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1">
    <dxf>
      <font>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Marketable</a:t>
            </a:r>
            <a:r>
              <a:rPr lang="en-US" baseline="0"/>
              <a:t> Securities</a:t>
            </a:r>
            <a:br>
              <a:rPr lang="en-US" baseline="0"/>
            </a:br>
            <a:r>
              <a:rPr lang="en-US" baseline="0"/>
              <a:t>and Short Term Loan Balances</a:t>
            </a:r>
          </a:p>
          <a:p>
            <a:pPr>
              <a:defRPr/>
            </a:pPr>
            <a:r>
              <a:rPr lang="en-US" sz="1800" b="0" i="0" u="none" strike="noStrike" baseline="0">
                <a:effectLst/>
              </a:rPr>
              <a:t>               </a:t>
            </a:r>
            <a:endParaRPr lang="en-US"/>
          </a:p>
        </c:rich>
      </c:tx>
      <c:overlay val="0"/>
    </c:title>
    <c:autoTitleDeleted val="0"/>
    <c:plotArea>
      <c:layout>
        <c:manualLayout>
          <c:layoutTarget val="inner"/>
          <c:xMode val="edge"/>
          <c:yMode val="edge"/>
          <c:x val="0.10050572326059824"/>
          <c:y val="0.18317318558609186"/>
          <c:w val="0.87816611386979437"/>
          <c:h val="0.70764005546630182"/>
        </c:manualLayout>
      </c:layout>
      <c:barChart>
        <c:barDir val="col"/>
        <c:grouping val="clustered"/>
        <c:varyColors val="0"/>
        <c:ser>
          <c:idx val="0"/>
          <c:order val="0"/>
          <c:tx>
            <c:strRef>
              <c:f>'Prob 3 - 10 Pts'!$J$6</c:f>
              <c:strCache>
                <c:ptCount val="1"/>
                <c:pt idx="0">
                  <c:v>Short-Term Loans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Pts'!$K$6:$S$6</c:f>
              <c:numCache>
                <c:formatCode>_(* #,##0_);_(* \(#,##0\);_(* "-"_);_(@_)</c:formatCode>
                <c:ptCount val="9"/>
                <c:pt idx="0">
                  <c:v>0</c:v>
                </c:pt>
                <c:pt idx="1">
                  <c:v>0</c:v>
                </c:pt>
                <c:pt idx="2">
                  <c:v>0</c:v>
                </c:pt>
                <c:pt idx="3">
                  <c:v>-85013</c:v>
                </c:pt>
                <c:pt idx="4">
                  <c:v>-73995</c:v>
                </c:pt>
                <c:pt idx="5">
                  <c:v>-64009.5</c:v>
                </c:pt>
                <c:pt idx="6">
                  <c:v>-55732.5</c:v>
                </c:pt>
                <c:pt idx="7">
                  <c:v>-43478.5</c:v>
                </c:pt>
                <c:pt idx="8">
                  <c:v>-29505.5</c:v>
                </c:pt>
              </c:numCache>
            </c:numRef>
          </c:val>
          <c:extLst>
            <c:ext xmlns:c16="http://schemas.microsoft.com/office/drawing/2014/chart" uri="{C3380CC4-5D6E-409C-BE32-E72D297353CC}">
              <c16:uniqueId val="{00000000-EA89-4066-B625-BA873E628E05}"/>
            </c:ext>
          </c:extLst>
        </c:ser>
        <c:ser>
          <c:idx val="1"/>
          <c:order val="1"/>
          <c:tx>
            <c:strRef>
              <c:f>'Prob 3 - 10 Pts'!$J$7</c:f>
              <c:strCache>
                <c:ptCount val="1"/>
                <c:pt idx="0">
                  <c:v>Mkt'l Securities</c:v>
                </c:pt>
              </c:strCache>
            </c:strRef>
          </c:tx>
          <c:invertIfNegative val="0"/>
          <c:cat>
            <c:strRef>
              <c:f>'Prob 3 - 10 Pts'!$K$5:$S$5</c:f>
              <c:strCache>
                <c:ptCount val="9"/>
                <c:pt idx="0">
                  <c:v>APR</c:v>
                </c:pt>
                <c:pt idx="1">
                  <c:v>MAY</c:v>
                </c:pt>
                <c:pt idx="2">
                  <c:v>JUN</c:v>
                </c:pt>
                <c:pt idx="3">
                  <c:v>JUL</c:v>
                </c:pt>
                <c:pt idx="4">
                  <c:v>AUG</c:v>
                </c:pt>
                <c:pt idx="5">
                  <c:v>SEP</c:v>
                </c:pt>
                <c:pt idx="6">
                  <c:v>OCT</c:v>
                </c:pt>
                <c:pt idx="7">
                  <c:v>NOV</c:v>
                </c:pt>
                <c:pt idx="8">
                  <c:v>DEC</c:v>
                </c:pt>
              </c:strCache>
            </c:strRef>
          </c:cat>
          <c:val>
            <c:numRef>
              <c:f>'Prob 3 - 10 Pts'!$K$7:$S$7</c:f>
              <c:numCache>
                <c:formatCode>_(* #,##0_);_(* \(#,##0\);_(* "-"_);_(@_)</c:formatCode>
                <c:ptCount val="9"/>
                <c:pt idx="0">
                  <c:v>9177.5</c:v>
                </c:pt>
                <c:pt idx="1">
                  <c:v>19437</c:v>
                </c:pt>
                <c:pt idx="2">
                  <c:v>31119</c:v>
                </c:pt>
                <c:pt idx="3">
                  <c:v>0</c:v>
                </c:pt>
                <c:pt idx="4">
                  <c:v>0</c:v>
                </c:pt>
                <c:pt idx="5">
                  <c:v>0</c:v>
                </c:pt>
                <c:pt idx="6">
                  <c:v>0</c:v>
                </c:pt>
                <c:pt idx="7">
                  <c:v>0</c:v>
                </c:pt>
                <c:pt idx="8">
                  <c:v>0</c:v>
                </c:pt>
              </c:numCache>
            </c:numRef>
          </c:val>
          <c:extLst>
            <c:ext xmlns:c16="http://schemas.microsoft.com/office/drawing/2014/chart" uri="{C3380CC4-5D6E-409C-BE32-E72D297353CC}">
              <c16:uniqueId val="{00000001-EA89-4066-B625-BA873E628E05}"/>
            </c:ext>
          </c:extLst>
        </c:ser>
        <c:dLbls>
          <c:showLegendKey val="0"/>
          <c:showVal val="0"/>
          <c:showCatName val="0"/>
          <c:showSerName val="0"/>
          <c:showPercent val="0"/>
          <c:showBubbleSize val="0"/>
        </c:dLbls>
        <c:gapWidth val="150"/>
        <c:axId val="1317622512"/>
        <c:axId val="1317610000"/>
      </c:barChart>
      <c:catAx>
        <c:axId val="1317622512"/>
        <c:scaling>
          <c:orientation val="minMax"/>
        </c:scaling>
        <c:delete val="0"/>
        <c:axPos val="b"/>
        <c:numFmt formatCode="General" sourceLinked="0"/>
        <c:majorTickMark val="none"/>
        <c:minorTickMark val="none"/>
        <c:tickLblPos val="nextTo"/>
        <c:txPr>
          <a:bodyPr/>
          <a:lstStyle/>
          <a:p>
            <a:pPr>
              <a:defRPr b="1"/>
            </a:pPr>
            <a:endParaRPr lang="en-US"/>
          </a:p>
        </c:txPr>
        <c:crossAx val="1317610000"/>
        <c:crosses val="autoZero"/>
        <c:auto val="1"/>
        <c:lblAlgn val="ctr"/>
        <c:lblOffset val="100"/>
        <c:noMultiLvlLbl val="0"/>
      </c:catAx>
      <c:valAx>
        <c:axId val="1317610000"/>
        <c:scaling>
          <c:orientation val="minMax"/>
          <c:max val="120000"/>
          <c:min val="-100000"/>
        </c:scaling>
        <c:delete val="0"/>
        <c:axPos val="l"/>
        <c:majorGridlines/>
        <c:numFmt formatCode="&quot;$&quot;#,##0" sourceLinked="0"/>
        <c:majorTickMark val="none"/>
        <c:minorTickMark val="none"/>
        <c:tickLblPos val="nextTo"/>
        <c:txPr>
          <a:bodyPr/>
          <a:lstStyle/>
          <a:p>
            <a:pPr>
              <a:defRPr b="1"/>
            </a:pPr>
            <a:endParaRPr lang="en-US"/>
          </a:p>
        </c:txPr>
        <c:crossAx val="1317622512"/>
        <c:crosses val="autoZero"/>
        <c:crossBetween val="between"/>
        <c:majorUnit val="25000"/>
        <c:minorUnit val="5000"/>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285751</xdr:rowOff>
    </xdr:from>
    <xdr:to>
      <xdr:col>6</xdr:col>
      <xdr:colOff>581025</xdr:colOff>
      <xdr:row>9</xdr:row>
      <xdr:rowOff>114300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352925" y="485776"/>
          <a:ext cx="2171700" cy="15144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2</xdr:row>
      <xdr:rowOff>114301</xdr:rowOff>
    </xdr:from>
    <xdr:to>
      <xdr:col>6</xdr:col>
      <xdr:colOff>361950</xdr:colOff>
      <xdr:row>9</xdr:row>
      <xdr:rowOff>66675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62475" y="619126"/>
          <a:ext cx="1743075" cy="1333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6</xdr:col>
      <xdr:colOff>365261</xdr:colOff>
      <xdr:row>73</xdr:row>
      <xdr:rowOff>97321</xdr:rowOff>
    </xdr:from>
    <xdr:to>
      <xdr:col>10</xdr:col>
      <xdr:colOff>912742</xdr:colOff>
      <xdr:row>88</xdr:row>
      <xdr:rowOff>136662</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6308861" y="14861071"/>
          <a:ext cx="2109581" cy="29539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828676</xdr:colOff>
      <xdr:row>9</xdr:row>
      <xdr:rowOff>180975</xdr:rowOff>
    </xdr:from>
    <xdr:to>
      <xdr:col>7</xdr:col>
      <xdr:colOff>161925</xdr:colOff>
      <xdr:row>13</xdr:row>
      <xdr:rowOff>66675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981576" y="2066925"/>
          <a:ext cx="1981199" cy="65722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9</xdr:col>
      <xdr:colOff>161738</xdr:colOff>
      <xdr:row>41</xdr:row>
      <xdr:rowOff>176305</xdr:rowOff>
    </xdr:from>
    <xdr:to>
      <xdr:col>10</xdr:col>
      <xdr:colOff>4495613</xdr:colOff>
      <xdr:row>52</xdr:row>
      <xdr:rowOff>123825</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219763" y="8301130"/>
          <a:ext cx="4572000" cy="2176370"/>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12700</xdr:rowOff>
    </xdr:from>
    <xdr:to>
      <xdr:col>13</xdr:col>
      <xdr:colOff>438150</xdr:colOff>
      <xdr:row>18</xdr:row>
      <xdr:rowOff>38100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6850"/>
          <a:ext cx="9626600" cy="3155950"/>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Name the input cells for collections</a:t>
          </a:r>
          <a:r>
            <a:rPr lang="en-US" sz="1100" b="1" baseline="0">
              <a:solidFill>
                <a:schemeClr val="dk1"/>
              </a:solidFill>
              <a:effectLst/>
              <a:latin typeface="+mn-lt"/>
              <a:ea typeface="+mn-ea"/>
              <a:cs typeface="+mn-cs"/>
            </a:rPr>
            <a:t> Collect0, Collect1, and Collect 2. Then cre</a:t>
          </a:r>
          <a:r>
            <a:rPr lang="en-US" sz="1100" b="1">
              <a:solidFill>
                <a:schemeClr val="dk1"/>
              </a:solidFill>
              <a:effectLst/>
              <a:latin typeface="+mn-lt"/>
              <a:ea typeface="+mn-ea"/>
              <a:cs typeface="+mn-cs"/>
            </a:rPr>
            <a:t>ate</a:t>
          </a:r>
          <a:r>
            <a:rPr lang="en-US" sz="11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70%, Collect1 = 15%, and Collect2 = 15%, the NORMAL scenario will use the base case collection rates given here, and the BAD scenario will use Collect0 = 50%, Collect1 = 10%, and Collect2 = 40% . Save a summary of the scenarios on a separate tabbed page. </a:t>
          </a:r>
          <a:endParaRPr lang="en-US">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11</xdr:row>
      <xdr:rowOff>44450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93700" y="171450"/>
          <a:ext cx="5054600" cy="18986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$120,000 and the minimum to -$100,000 with major unit divisions set to $25,000.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twoCellAnchor>
    <xdr:from>
      <xdr:col>0</xdr:col>
      <xdr:colOff>447674</xdr:colOff>
      <xdr:row>12</xdr:row>
      <xdr:rowOff>104774</xdr:rowOff>
    </xdr:from>
    <xdr:to>
      <xdr:col>10</xdr:col>
      <xdr:colOff>304799</xdr:colOff>
      <xdr:row>34</xdr:row>
      <xdr:rowOff>146049</xdr:rowOff>
    </xdr:to>
    <xdr:graphicFrame macro="">
      <xdr:nvGraphicFramePr>
        <xdr:cNvPr id="4" name="Chart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5</xdr:col>
      <xdr:colOff>390526</xdr:colOff>
      <xdr:row>4</xdr:row>
      <xdr:rowOff>76200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285751</xdr:colOff>
      <xdr:row>0</xdr:row>
      <xdr:rowOff>137273</xdr:rowOff>
    </xdr:from>
    <xdr:to>
      <xdr:col>4</xdr:col>
      <xdr:colOff>304801</xdr:colOff>
      <xdr:row>9</xdr:row>
      <xdr:rowOff>47625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85751" y="137273"/>
          <a:ext cx="5200650" cy="2043952"/>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800" b="1">
              <a:solidFill>
                <a:schemeClr val="dk1"/>
              </a:solidFill>
              <a:effectLst/>
              <a:latin typeface="+mn-lt"/>
              <a:ea typeface="+mn-ea"/>
              <a:cs typeface="+mn-cs"/>
            </a:rPr>
            <a:t>Format the area below</a:t>
          </a:r>
          <a:r>
            <a:rPr lang="en-US" sz="1800" b="1" baseline="0">
              <a:solidFill>
                <a:schemeClr val="dk1"/>
              </a:solidFill>
              <a:effectLst/>
              <a:latin typeface="+mn-lt"/>
              <a:ea typeface="+mn-ea"/>
              <a:cs typeface="+mn-cs"/>
            </a:rPr>
            <a:t> to look as much like the picture to the right as possible. Do not include the arrows. You can move or resize the picture as needed to give you room to do your work.</a:t>
          </a:r>
          <a:endParaRPr lang="en-US" sz="2800">
            <a:effectLst/>
          </a:endParaRPr>
        </a:p>
        <a:p>
          <a:pPr algn="l"/>
          <a:endParaRPr lang="en-US" sz="1100"/>
        </a:p>
      </xdr:txBody>
    </xdr:sp>
    <xdr:clientData/>
  </xdr:twoCellAnchor>
  <xdr:twoCellAnchor>
    <xdr:from>
      <xdr:col>4</xdr:col>
      <xdr:colOff>77316</xdr:colOff>
      <xdr:row>7</xdr:row>
      <xdr:rowOff>78441</xdr:rowOff>
    </xdr:from>
    <xdr:to>
      <xdr:col>8</xdr:col>
      <xdr:colOff>160020</xdr:colOff>
      <xdr:row>13</xdr:row>
      <xdr:rowOff>44824</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flipH="1">
          <a:off x="5693256" y="1785321"/>
          <a:ext cx="2719224" cy="1661833"/>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Rows</a:t>
          </a:r>
          <a:r>
            <a:rPr lang="en-US" sz="1100" baseline="0"/>
            <a:t> 11, 12, and 13 have a row height of 30 with 18 pt. fonts, and the text is centered horizonally and vertically.</a:t>
          </a:r>
          <a:endParaRPr lang="en-US" sz="1100"/>
        </a:p>
      </xdr:txBody>
    </xdr:sp>
    <xdr:clientData/>
  </xdr:twoCellAnchor>
  <xdr:twoCellAnchor>
    <xdr:from>
      <xdr:col>4</xdr:col>
      <xdr:colOff>133350</xdr:colOff>
      <xdr:row>16</xdr:row>
      <xdr:rowOff>142874</xdr:rowOff>
    </xdr:from>
    <xdr:to>
      <xdr:col>8</xdr:col>
      <xdr:colOff>133350</xdr:colOff>
      <xdr:row>23</xdr:row>
      <xdr:rowOff>95249</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flipH="1">
          <a:off x="5038725" y="3867149"/>
          <a:ext cx="2438400" cy="134302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Column B has a width of  25.</a:t>
          </a:r>
          <a:r>
            <a:rPr lang="en-US" sz="1100" baseline="0"/>
            <a:t> Columns C and D have a width of  18 .</a:t>
          </a:r>
        </a:p>
        <a:p>
          <a:pPr algn="l"/>
          <a:endParaRPr lang="en-US" sz="1100"/>
        </a:p>
      </xdr:txBody>
    </xdr:sp>
    <xdr:clientData/>
  </xdr:twoCellAnchor>
  <xdr:twoCellAnchor>
    <xdr:from>
      <xdr:col>4</xdr:col>
      <xdr:colOff>152398</xdr:colOff>
      <xdr:row>12</xdr:row>
      <xdr:rowOff>56365</xdr:rowOff>
    </xdr:from>
    <xdr:to>
      <xdr:col>8</xdr:col>
      <xdr:colOff>148590</xdr:colOff>
      <xdr:row>15</xdr:row>
      <xdr:rowOff>142090</xdr:rowOff>
    </xdr:to>
    <xdr:sp macro="" textlink="">
      <xdr:nvSpPr>
        <xdr:cNvPr id="8" name="Right Arrow 7">
          <a:extLst>
            <a:ext uri="{FF2B5EF4-FFF2-40B4-BE49-F238E27FC236}">
              <a16:creationId xmlns:a16="http://schemas.microsoft.com/office/drawing/2014/main" id="{00000000-0008-0000-0600-000008000000}"/>
            </a:ext>
          </a:extLst>
        </xdr:cNvPr>
        <xdr:cNvSpPr/>
      </xdr:nvSpPr>
      <xdr:spPr>
        <a:xfrm flipH="1">
          <a:off x="5768338" y="3077695"/>
          <a:ext cx="2632712" cy="1320165"/>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t>Row 14</a:t>
          </a:r>
          <a:r>
            <a:rPr lang="en-US" sz="1100" baseline="0"/>
            <a:t> is has a row height of 50 with 14 pt fonts</a:t>
          </a:r>
          <a:endParaRPr lang="en-US" sz="1100"/>
        </a:p>
      </xdr:txBody>
    </xdr:sp>
    <xdr:clientData/>
  </xdr:twoCellAnchor>
  <xdr:twoCellAnchor>
    <xdr:from>
      <xdr:col>4</xdr:col>
      <xdr:colOff>122143</xdr:colOff>
      <xdr:row>23</xdr:row>
      <xdr:rowOff>93568</xdr:rowOff>
    </xdr:from>
    <xdr:to>
      <xdr:col>8</xdr:col>
      <xdr:colOff>122143</xdr:colOff>
      <xdr:row>28</xdr:row>
      <xdr:rowOff>67236</xdr:rowOff>
    </xdr:to>
    <xdr:sp macro="" textlink="">
      <xdr:nvSpPr>
        <xdr:cNvPr id="9" name="Right Arrow 8">
          <a:extLst>
            <a:ext uri="{FF2B5EF4-FFF2-40B4-BE49-F238E27FC236}">
              <a16:creationId xmlns:a16="http://schemas.microsoft.com/office/drawing/2014/main" id="{00000000-0008-0000-0600-000009000000}"/>
            </a:ext>
          </a:extLst>
        </xdr:cNvPr>
        <xdr:cNvSpPr/>
      </xdr:nvSpPr>
      <xdr:spPr>
        <a:xfrm flipH="1">
          <a:off x="5601819" y="5842186"/>
          <a:ext cx="2420471" cy="1071844"/>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Row 27 has a height of</a:t>
          </a:r>
          <a:r>
            <a:rPr lang="en-US" sz="1100" baseline="0"/>
            <a:t> 30 with 14 pt. fonts</a:t>
          </a:r>
          <a:endParaRPr lang="en-US" sz="1100"/>
        </a:p>
      </xdr:txBody>
    </xdr:sp>
    <xdr:clientData/>
  </xdr:twoCellAnchor>
  <xdr:twoCellAnchor editAs="oneCell">
    <xdr:from>
      <xdr:col>8</xdr:col>
      <xdr:colOff>581025</xdr:colOff>
      <xdr:row>4</xdr:row>
      <xdr:rowOff>47625</xdr:rowOff>
    </xdr:from>
    <xdr:to>
      <xdr:col>23</xdr:col>
      <xdr:colOff>122739</xdr:colOff>
      <xdr:row>29</xdr:row>
      <xdr:rowOff>189725</xdr:rowOff>
    </xdr:to>
    <xdr:pic>
      <xdr:nvPicPr>
        <xdr:cNvPr id="3" name="Picture 2">
          <a:extLst>
            <a:ext uri="{FF2B5EF4-FFF2-40B4-BE49-F238E27FC236}">
              <a16:creationId xmlns:a16="http://schemas.microsoft.com/office/drawing/2014/main" id="{CEEF2BFA-C471-416C-8CD2-0AE2E91F8CEA}"/>
            </a:ext>
          </a:extLst>
        </xdr:cNvPr>
        <xdr:cNvPicPr>
          <a:picLocks noChangeAspect="1"/>
        </xdr:cNvPicPr>
      </xdr:nvPicPr>
      <xdr:blipFill>
        <a:blip xmlns:r="http://schemas.openxmlformats.org/officeDocument/2006/relationships" r:embed="rId1"/>
        <a:stretch>
          <a:fillRect/>
        </a:stretch>
      </xdr:blipFill>
      <xdr:spPr>
        <a:xfrm>
          <a:off x="8201025" y="1228725"/>
          <a:ext cx="8685714" cy="62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264459</xdr:colOff>
      <xdr:row>1</xdr:row>
      <xdr:rowOff>22412</xdr:rowOff>
    </xdr:from>
    <xdr:to>
      <xdr:col>16</xdr:col>
      <xdr:colOff>614082</xdr:colOff>
      <xdr:row>2</xdr:row>
      <xdr:rowOff>44824</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264459" y="206188"/>
          <a:ext cx="8915399" cy="17929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15" zoomScaleNormal="115" workbookViewId="0">
      <selection activeCell="A2" sqref="A2"/>
    </sheetView>
  </sheetViews>
  <sheetFormatPr defaultRowHeight="15" x14ac:dyDescent="0.25"/>
  <cols>
    <col min="1" max="1" width="3.140625" customWidth="1"/>
    <col min="2" max="2" width="4.5703125" customWidth="1"/>
  </cols>
  <sheetData>
    <row r="2" spans="2:2" ht="18.75" x14ac:dyDescent="0.3">
      <c r="B2" s="53" t="s">
        <v>111</v>
      </c>
    </row>
    <row r="3" spans="2:2" ht="18.75" x14ac:dyDescent="0.3">
      <c r="B3" s="53" t="s">
        <v>112</v>
      </c>
    </row>
    <row r="4" spans="2:2" ht="18.75" x14ac:dyDescent="0.3">
      <c r="B4" s="53" t="s">
        <v>113</v>
      </c>
    </row>
    <row r="5" spans="2:2" ht="11.1" customHeight="1" x14ac:dyDescent="0.3">
      <c r="B5" s="53"/>
    </row>
    <row r="6" spans="2:2" ht="18.75" x14ac:dyDescent="0.3">
      <c r="B6" s="53" t="s">
        <v>114</v>
      </c>
    </row>
    <row r="7" spans="2:2" ht="18.75" x14ac:dyDescent="0.3">
      <c r="B7" s="53" t="s">
        <v>128</v>
      </c>
    </row>
    <row r="8" spans="2:2" ht="11.1" customHeight="1" x14ac:dyDescent="0.3">
      <c r="B8" s="53"/>
    </row>
    <row r="9" spans="2:2" s="52" customFormat="1" ht="18.75" x14ac:dyDescent="0.3">
      <c r="B9" s="53" t="s">
        <v>117</v>
      </c>
    </row>
    <row r="10" spans="2:2" s="52" customFormat="1" ht="18.75" x14ac:dyDescent="0.3">
      <c r="B10" s="53" t="s">
        <v>118</v>
      </c>
    </row>
    <row r="11" spans="2:2" s="52" customFormat="1" ht="18.75" x14ac:dyDescent="0.3">
      <c r="B11" s="53" t="s">
        <v>119</v>
      </c>
    </row>
    <row r="12" spans="2:2" ht="14.1" customHeight="1" x14ac:dyDescent="0.3">
      <c r="B12" s="53"/>
    </row>
    <row r="13" spans="2:2" x14ac:dyDescent="0.25">
      <c r="B13" s="52" t="s">
        <v>129</v>
      </c>
    </row>
    <row r="14" spans="2:2" ht="8.4499999999999993" customHeight="1" x14ac:dyDescent="0.3">
      <c r="B14" s="53"/>
    </row>
    <row r="15" spans="2:2" x14ac:dyDescent="0.25">
      <c r="B15" s="52" t="s">
        <v>115</v>
      </c>
    </row>
    <row r="16" spans="2:2" ht="6" customHeight="1" x14ac:dyDescent="0.25">
      <c r="B16" s="52"/>
    </row>
    <row r="17" spans="2:3" x14ac:dyDescent="0.25">
      <c r="B17" s="52" t="s">
        <v>116</v>
      </c>
    </row>
    <row r="18" spans="2:3" x14ac:dyDescent="0.25">
      <c r="B18" s="52"/>
    </row>
    <row r="19" spans="2:3" s="54" customFormat="1" x14ac:dyDescent="0.25">
      <c r="B19" s="54" t="s">
        <v>130</v>
      </c>
    </row>
    <row r="20" spans="2:3" s="54" customFormat="1" x14ac:dyDescent="0.25">
      <c r="B20" s="54" t="s">
        <v>174</v>
      </c>
    </row>
    <row r="21" spans="2:3" s="54" customFormat="1" x14ac:dyDescent="0.25">
      <c r="B21" s="54" t="s">
        <v>131</v>
      </c>
    </row>
    <row r="22" spans="2:3" s="54" customFormat="1" x14ac:dyDescent="0.25"/>
    <row r="23" spans="2:3" s="54" customFormat="1" ht="18.75" x14ac:dyDescent="0.3">
      <c r="B23" s="55" t="s">
        <v>120</v>
      </c>
    </row>
    <row r="24" spans="2:3" s="52" customFormat="1" x14ac:dyDescent="0.25"/>
    <row r="25" spans="2:3" s="52" customFormat="1" ht="6.6" customHeight="1" x14ac:dyDescent="0.25"/>
    <row r="26" spans="2:3" s="52" customFormat="1" ht="18.75" x14ac:dyDescent="0.3">
      <c r="C26" s="55" t="s">
        <v>121</v>
      </c>
    </row>
    <row r="27" spans="2:3" s="52" customFormat="1" ht="18.75" x14ac:dyDescent="0.3">
      <c r="C27" s="55" t="s">
        <v>132</v>
      </c>
    </row>
    <row r="28" spans="2:3" s="52" customFormat="1" ht="18.75" x14ac:dyDescent="0.3">
      <c r="C28" s="55"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97"/>
  <sheetViews>
    <sheetView topLeftCell="A10" zoomScaleNormal="100" workbookViewId="0"/>
  </sheetViews>
  <sheetFormatPr defaultRowHeight="15" x14ac:dyDescent="0.25"/>
  <cols>
    <col min="1" max="1" width="2.85546875" customWidth="1"/>
    <col min="2" max="2" width="37.140625" customWidth="1"/>
    <col min="3" max="3" width="5.140625" customWidth="1"/>
    <col min="4" max="4" width="17.140625" customWidth="1"/>
    <col min="5"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24" customHeight="1" thickBot="1" x14ac:dyDescent="0.35">
      <c r="B2" s="189" t="s">
        <v>224</v>
      </c>
      <c r="C2" s="189"/>
      <c r="D2" s="189"/>
      <c r="I2" s="78"/>
      <c r="J2" s="79"/>
      <c r="K2" s="80"/>
      <c r="L2" s="81"/>
    </row>
    <row r="3" spans="2:12" s="3" customFormat="1" ht="18.75" customHeight="1" x14ac:dyDescent="0.25">
      <c r="B3" s="4" t="s">
        <v>0</v>
      </c>
      <c r="C3" s="4"/>
      <c r="D3" s="162">
        <v>0.35</v>
      </c>
      <c r="I3" s="82"/>
      <c r="J3" s="83" t="s">
        <v>65</v>
      </c>
      <c r="K3" s="163" t="s">
        <v>227</v>
      </c>
      <c r="L3" s="85"/>
    </row>
    <row r="4" spans="2:12" s="3" customFormat="1" x14ac:dyDescent="0.25">
      <c r="B4" s="4" t="s">
        <v>1</v>
      </c>
      <c r="C4" s="4"/>
      <c r="D4" s="158">
        <v>500000</v>
      </c>
      <c r="I4" s="82"/>
      <c r="J4" s="86"/>
      <c r="K4" s="163" t="s">
        <v>66</v>
      </c>
      <c r="L4" s="85"/>
    </row>
    <row r="5" spans="2:12" s="3" customFormat="1" x14ac:dyDescent="0.25">
      <c r="B5" s="4" t="s">
        <v>12</v>
      </c>
      <c r="C5" s="4"/>
      <c r="D5" s="159">
        <v>7245000</v>
      </c>
      <c r="I5" s="82"/>
      <c r="J5" s="86"/>
      <c r="K5" s="163" t="s">
        <v>228</v>
      </c>
      <c r="L5" s="85"/>
    </row>
    <row r="6" spans="2:12" s="3" customFormat="1" x14ac:dyDescent="0.25">
      <c r="B6" s="4" t="s">
        <v>2</v>
      </c>
      <c r="C6" s="4"/>
      <c r="D6" s="159">
        <v>850000</v>
      </c>
      <c r="I6" s="82"/>
      <c r="J6" s="86"/>
      <c r="K6" s="163" t="s">
        <v>68</v>
      </c>
      <c r="L6" s="85"/>
    </row>
    <row r="7" spans="2:12" s="56" customFormat="1" x14ac:dyDescent="0.25">
      <c r="B7" s="4" t="s">
        <v>4</v>
      </c>
      <c r="C7" s="4"/>
      <c r="D7" s="159">
        <v>845000</v>
      </c>
      <c r="I7" s="82"/>
      <c r="J7" s="84"/>
      <c r="K7" s="163"/>
      <c r="L7" s="85"/>
    </row>
    <row r="8" spans="2:12" s="56" customFormat="1" x14ac:dyDescent="0.25">
      <c r="B8" s="4" t="s">
        <v>5</v>
      </c>
      <c r="C8" s="4"/>
      <c r="D8" s="159">
        <v>135000</v>
      </c>
      <c r="I8" s="82"/>
      <c r="J8" s="83" t="s">
        <v>67</v>
      </c>
      <c r="K8" s="163" t="s">
        <v>229</v>
      </c>
      <c r="L8" s="85"/>
    </row>
    <row r="9" spans="2:12" s="3" customFormat="1" x14ac:dyDescent="0.25">
      <c r="B9" s="4" t="s">
        <v>3</v>
      </c>
      <c r="C9" s="4"/>
      <c r="D9" s="159">
        <v>746000</v>
      </c>
      <c r="I9" s="82"/>
      <c r="J9" s="86"/>
      <c r="K9" s="163" t="s">
        <v>69</v>
      </c>
      <c r="L9" s="85"/>
    </row>
    <row r="10" spans="2:12" s="3" customFormat="1" x14ac:dyDescent="0.25">
      <c r="B10" s="4" t="s">
        <v>7</v>
      </c>
      <c r="C10" s="4"/>
      <c r="D10" s="159">
        <v>1985000</v>
      </c>
      <c r="I10" s="82"/>
      <c r="J10" s="86"/>
      <c r="K10" s="163"/>
      <c r="L10" s="85"/>
    </row>
    <row r="11" spans="2:12" s="3" customFormat="1" x14ac:dyDescent="0.25">
      <c r="B11" s="4" t="s">
        <v>8</v>
      </c>
      <c r="C11" s="4"/>
      <c r="D11" s="159">
        <v>1685000</v>
      </c>
      <c r="I11" s="82"/>
      <c r="J11" s="83" t="s">
        <v>70</v>
      </c>
      <c r="K11" s="163" t="s">
        <v>71</v>
      </c>
      <c r="L11" s="85"/>
    </row>
    <row r="12" spans="2:12" s="3" customFormat="1" x14ac:dyDescent="0.25">
      <c r="B12" s="4" t="s">
        <v>9</v>
      </c>
      <c r="C12" s="4"/>
      <c r="D12" s="159">
        <v>920000</v>
      </c>
      <c r="I12" s="82"/>
      <c r="J12" s="86"/>
      <c r="K12" s="163" t="s">
        <v>72</v>
      </c>
      <c r="L12" s="85"/>
    </row>
    <row r="13" spans="2:12" s="3" customFormat="1" ht="15.75" thickBot="1" x14ac:dyDescent="0.3">
      <c r="B13" s="4" t="s">
        <v>6</v>
      </c>
      <c r="C13" s="4"/>
      <c r="D13" s="160">
        <v>0.25</v>
      </c>
      <c r="I13" s="87"/>
      <c r="J13" s="90"/>
      <c r="K13" s="89"/>
      <c r="L13" s="88"/>
    </row>
    <row r="14" spans="2:12" s="3" customFormat="1" ht="15.75" thickBot="1" x14ac:dyDescent="0.3">
      <c r="B14" s="6" t="s">
        <v>73</v>
      </c>
      <c r="C14" s="6"/>
      <c r="D14" s="161">
        <v>260000</v>
      </c>
      <c r="I14" s="50"/>
      <c r="J14" s="51"/>
      <c r="K14" s="50"/>
      <c r="L14" s="50"/>
    </row>
    <row r="15" spans="2:12" s="3" customFormat="1" ht="17.25" x14ac:dyDescent="0.4">
      <c r="B15" s="7" t="s">
        <v>225</v>
      </c>
      <c r="C15" s="7"/>
      <c r="D15" s="5"/>
      <c r="I15" s="50"/>
      <c r="J15" s="51"/>
      <c r="K15" s="50"/>
      <c r="L15" s="50"/>
    </row>
    <row r="16" spans="2:12" ht="15.75" thickBot="1" x14ac:dyDescent="0.3">
      <c r="B16" s="8" t="s">
        <v>226</v>
      </c>
      <c r="C16" s="8"/>
      <c r="D16" s="1"/>
      <c r="I16" s="50"/>
      <c r="J16" s="51"/>
      <c r="K16" s="50"/>
      <c r="L16" s="50"/>
    </row>
    <row r="17" spans="2:12" ht="15.75" thickBot="1" x14ac:dyDescent="0.3">
      <c r="B17" s="1"/>
      <c r="C17" s="1"/>
      <c r="D17" s="1"/>
      <c r="E17" s="1"/>
      <c r="F17" s="1"/>
      <c r="G17" s="1"/>
      <c r="I17" s="50"/>
      <c r="J17" s="51"/>
      <c r="K17" s="50"/>
      <c r="L17" s="50"/>
    </row>
    <row r="18" spans="2:12" ht="21" customHeight="1" x14ac:dyDescent="0.3">
      <c r="B18" s="190" t="s">
        <v>10</v>
      </c>
      <c r="C18" s="190"/>
      <c r="D18" s="190"/>
      <c r="E18" s="190"/>
      <c r="F18" s="190"/>
      <c r="G18" s="190"/>
      <c r="I18" s="50"/>
      <c r="J18" s="51"/>
      <c r="K18" s="50"/>
      <c r="L18" s="50"/>
    </row>
    <row r="19" spans="2:12" ht="21" customHeight="1" x14ac:dyDescent="0.3">
      <c r="B19" s="190" t="s">
        <v>231</v>
      </c>
      <c r="C19" s="190"/>
      <c r="D19" s="190"/>
      <c r="E19" s="190"/>
      <c r="F19" s="190"/>
      <c r="G19" s="190"/>
      <c r="I19" s="50"/>
      <c r="J19" s="51"/>
      <c r="K19" s="50"/>
      <c r="L19" s="50"/>
    </row>
    <row r="20" spans="2:12" ht="21" customHeight="1" thickBot="1" x14ac:dyDescent="0.35">
      <c r="B20" s="184" t="s">
        <v>11</v>
      </c>
      <c r="C20" s="184"/>
      <c r="D20" s="185"/>
      <c r="E20" s="185"/>
      <c r="F20" s="185"/>
      <c r="G20" s="185"/>
      <c r="I20" s="50"/>
      <c r="J20" s="51"/>
      <c r="K20" s="50"/>
      <c r="L20" s="50"/>
    </row>
    <row r="21" spans="2:12" ht="9" customHeight="1" x14ac:dyDescent="0.3">
      <c r="B21" s="9"/>
      <c r="C21" s="9"/>
      <c r="D21" s="9"/>
      <c r="E21" s="9"/>
      <c r="F21" s="9"/>
      <c r="G21" s="9"/>
      <c r="I21" s="50"/>
      <c r="J21" s="51"/>
      <c r="K21" s="50"/>
      <c r="L21" s="50"/>
    </row>
    <row r="22" spans="2:12" ht="17.25" x14ac:dyDescent="0.4">
      <c r="B22" s="3"/>
      <c r="C22" s="3"/>
      <c r="D22" s="178" t="s">
        <v>230</v>
      </c>
      <c r="E22" s="178" t="s">
        <v>222</v>
      </c>
      <c r="F22" s="178" t="s">
        <v>230</v>
      </c>
      <c r="G22" s="178" t="s">
        <v>222</v>
      </c>
      <c r="I22" s="50"/>
      <c r="J22" s="51"/>
      <c r="K22" s="50"/>
      <c r="L22" s="50"/>
    </row>
    <row r="23" spans="2:12" x14ac:dyDescent="0.25">
      <c r="B23" s="3" t="s">
        <v>12</v>
      </c>
      <c r="C23" s="3"/>
      <c r="D23" s="10">
        <f>D5/1000</f>
        <v>7245</v>
      </c>
      <c r="E23" s="10">
        <v>6850</v>
      </c>
      <c r="F23" s="11">
        <f>D23/D$23</f>
        <v>1</v>
      </c>
      <c r="G23" s="11">
        <f>E23/E$23</f>
        <v>1</v>
      </c>
      <c r="I23" s="50"/>
      <c r="J23" s="51"/>
      <c r="K23" s="50"/>
      <c r="L23" s="50"/>
    </row>
    <row r="24" spans="2:12" ht="17.25" x14ac:dyDescent="0.4">
      <c r="B24" s="12" t="s">
        <v>13</v>
      </c>
      <c r="C24" s="12"/>
      <c r="D24" s="12">
        <f>E24/E23*D23</f>
        <v>3834.0328467153281</v>
      </c>
      <c r="E24" s="12">
        <v>3625</v>
      </c>
      <c r="F24" s="11">
        <f t="shared" ref="F24:G33" si="0">D24/D$23</f>
        <v>0.52919708029197077</v>
      </c>
      <c r="G24" s="11">
        <f t="shared" si="0"/>
        <v>0.52919708029197077</v>
      </c>
      <c r="H24" s="13"/>
      <c r="I24" s="50"/>
      <c r="J24" s="51"/>
      <c r="K24" s="50"/>
      <c r="L24" s="50"/>
    </row>
    <row r="25" spans="2:12" x14ac:dyDescent="0.25">
      <c r="B25" s="3" t="s">
        <v>14</v>
      </c>
      <c r="C25" s="3"/>
      <c r="D25" s="10">
        <f>D23-D24</f>
        <v>3410.9671532846719</v>
      </c>
      <c r="E25" s="10">
        <f>E23-E24</f>
        <v>3225</v>
      </c>
      <c r="F25" s="11">
        <f t="shared" si="0"/>
        <v>0.47080291970802923</v>
      </c>
      <c r="G25" s="11">
        <f t="shared" si="0"/>
        <v>0.47080291970802918</v>
      </c>
    </row>
    <row r="26" spans="2:12" x14ac:dyDescent="0.25">
      <c r="B26" s="3" t="s">
        <v>2</v>
      </c>
      <c r="C26" s="3"/>
      <c r="D26" s="3">
        <f>D6/1000</f>
        <v>850</v>
      </c>
      <c r="E26" s="3">
        <v>1025</v>
      </c>
      <c r="F26" s="11">
        <f t="shared" si="0"/>
        <v>0.11732229123533472</v>
      </c>
      <c r="G26" s="11">
        <f t="shared" si="0"/>
        <v>0.14963503649635038</v>
      </c>
    </row>
    <row r="27" spans="2:12" x14ac:dyDescent="0.25">
      <c r="B27" s="3" t="s">
        <v>3</v>
      </c>
      <c r="C27" s="3"/>
      <c r="D27" s="3">
        <f>D9/1000</f>
        <v>746</v>
      </c>
      <c r="E27" s="3">
        <v>746</v>
      </c>
      <c r="F27" s="11">
        <f t="shared" si="0"/>
        <v>0.10296756383712906</v>
      </c>
      <c r="G27" s="11">
        <f t="shared" si="0"/>
        <v>0.10890510948905109</v>
      </c>
    </row>
    <row r="28" spans="2:12" ht="17.25" x14ac:dyDescent="0.4">
      <c r="B28" s="12" t="s">
        <v>4</v>
      </c>
      <c r="C28" s="12"/>
      <c r="D28" s="29">
        <f>D7/1000</f>
        <v>845</v>
      </c>
      <c r="E28" s="12">
        <v>800</v>
      </c>
      <c r="F28" s="11">
        <f t="shared" si="0"/>
        <v>0.11663216011042098</v>
      </c>
      <c r="G28" s="11">
        <f t="shared" si="0"/>
        <v>0.11678832116788321</v>
      </c>
    </row>
    <row r="29" spans="2:12" x14ac:dyDescent="0.25">
      <c r="B29" s="3" t="s">
        <v>15</v>
      </c>
      <c r="C29" s="3"/>
      <c r="D29" s="10">
        <f>D25-D26-D27-D28</f>
        <v>969.96715328467189</v>
      </c>
      <c r="E29" s="10">
        <f>E25-E26-E27-E28</f>
        <v>654</v>
      </c>
      <c r="F29" s="11">
        <f t="shared" si="0"/>
        <v>0.13388090452514451</v>
      </c>
      <c r="G29" s="11">
        <f t="shared" si="0"/>
        <v>9.5474452554744529E-2</v>
      </c>
    </row>
    <row r="30" spans="2:12" ht="17.25" x14ac:dyDescent="0.4">
      <c r="B30" s="12" t="s">
        <v>5</v>
      </c>
      <c r="C30" s="12"/>
      <c r="D30" s="12">
        <f>D8/1000</f>
        <v>135</v>
      </c>
      <c r="E30" s="12">
        <v>125</v>
      </c>
      <c r="F30" s="11">
        <f t="shared" si="0"/>
        <v>1.8633540372670808E-2</v>
      </c>
      <c r="G30" s="11">
        <f t="shared" si="0"/>
        <v>1.824817518248175E-2</v>
      </c>
    </row>
    <row r="31" spans="2:12" x14ac:dyDescent="0.25">
      <c r="B31" s="3" t="s">
        <v>16</v>
      </c>
      <c r="C31" s="3"/>
      <c r="D31" s="10">
        <f>D29-D30</f>
        <v>834.96715328467189</v>
      </c>
      <c r="E31" s="10">
        <f>E29-E30</f>
        <v>529</v>
      </c>
      <c r="F31" s="11">
        <f t="shared" si="0"/>
        <v>0.11524736415247369</v>
      </c>
      <c r="G31" s="11">
        <f t="shared" si="0"/>
        <v>7.7226277372262772E-2</v>
      </c>
    </row>
    <row r="32" spans="2:12" ht="17.25" x14ac:dyDescent="0.4">
      <c r="B32" s="12" t="s">
        <v>17</v>
      </c>
      <c r="C32" s="12"/>
      <c r="D32" s="12">
        <f>D31*D3</f>
        <v>292.23850364963516</v>
      </c>
      <c r="E32" s="12">
        <f>E31*0.35</f>
        <v>185.14999999999998</v>
      </c>
      <c r="F32" s="11">
        <f t="shared" si="0"/>
        <v>4.0336577453365795E-2</v>
      </c>
      <c r="G32" s="11">
        <f t="shared" si="0"/>
        <v>2.7029197080291969E-2</v>
      </c>
    </row>
    <row r="33" spans="2:7" x14ac:dyDescent="0.25">
      <c r="B33" s="3" t="s">
        <v>18</v>
      </c>
      <c r="C33" s="3"/>
      <c r="D33" s="10">
        <f>D31-D32</f>
        <v>542.72864963503673</v>
      </c>
      <c r="E33" s="10">
        <f>E31-E32</f>
        <v>343.85</v>
      </c>
      <c r="F33" s="11">
        <f t="shared" si="0"/>
        <v>7.4910786699107904E-2</v>
      </c>
      <c r="G33" s="11">
        <f t="shared" si="0"/>
        <v>5.0197080291970807E-2</v>
      </c>
    </row>
    <row r="34" spans="2:7" ht="18" thickBot="1" x14ac:dyDescent="0.45">
      <c r="B34" s="29"/>
      <c r="C34" s="12"/>
      <c r="D34" s="12"/>
      <c r="E34" s="12"/>
      <c r="F34" s="11"/>
      <c r="G34" s="11"/>
    </row>
    <row r="35" spans="2:7" ht="15.75" thickBot="1" x14ac:dyDescent="0.3">
      <c r="B35" s="3" t="s">
        <v>19</v>
      </c>
      <c r="D35" s="28">
        <f>D33/D4*1000</f>
        <v>1.0854572992700735</v>
      </c>
      <c r="E35" s="10"/>
      <c r="F35" s="11"/>
      <c r="G35" s="11"/>
    </row>
    <row r="36" spans="2:7" ht="7.5" customHeight="1" x14ac:dyDescent="0.25">
      <c r="B36" s="3"/>
      <c r="C36" s="3"/>
      <c r="D36" s="10"/>
      <c r="E36" s="10"/>
    </row>
    <row r="37" spans="2:7" ht="7.5" customHeight="1" x14ac:dyDescent="0.25"/>
    <row r="38" spans="2:7" ht="7.5" customHeight="1" thickBot="1" x14ac:dyDescent="0.3">
      <c r="B38" s="1"/>
      <c r="C38" s="1"/>
      <c r="D38" s="1"/>
      <c r="E38" s="1"/>
      <c r="F38" s="1"/>
      <c r="G38" s="1"/>
    </row>
    <row r="39" spans="2:7" ht="18.75" x14ac:dyDescent="0.3">
      <c r="B39" s="190" t="s">
        <v>20</v>
      </c>
      <c r="C39" s="190"/>
      <c r="D39" s="190"/>
      <c r="E39" s="190"/>
      <c r="F39" s="190"/>
      <c r="G39" s="190"/>
    </row>
    <row r="40" spans="2:7" ht="18.75" x14ac:dyDescent="0.3">
      <c r="B40" s="190" t="s">
        <v>231</v>
      </c>
      <c r="C40" s="190"/>
      <c r="D40" s="190"/>
      <c r="E40" s="190"/>
      <c r="F40" s="190"/>
      <c r="G40" s="190"/>
    </row>
    <row r="41" spans="2:7" ht="19.5" thickBot="1" x14ac:dyDescent="0.35">
      <c r="B41" s="184" t="s">
        <v>11</v>
      </c>
      <c r="C41" s="184"/>
      <c r="D41" s="185"/>
      <c r="E41" s="185"/>
      <c r="F41" s="185"/>
      <c r="G41" s="185"/>
    </row>
    <row r="42" spans="2:7" ht="18.75" x14ac:dyDescent="0.3">
      <c r="B42" s="14"/>
      <c r="C42" s="14"/>
      <c r="D42" s="9"/>
      <c r="E42" s="9"/>
      <c r="F42" s="9"/>
      <c r="G42" s="9"/>
    </row>
    <row r="43" spans="2:7" ht="17.25" x14ac:dyDescent="0.4">
      <c r="D43" s="178" t="s">
        <v>230</v>
      </c>
      <c r="E43" s="178" t="s">
        <v>222</v>
      </c>
      <c r="F43" s="178" t="s">
        <v>230</v>
      </c>
      <c r="G43" s="178" t="s">
        <v>222</v>
      </c>
    </row>
    <row r="44" spans="2:7" x14ac:dyDescent="0.25">
      <c r="B44" s="15" t="s">
        <v>21</v>
      </c>
      <c r="C44" s="3"/>
      <c r="D44" s="16">
        <f>D49-D48-D47-D46-D45</f>
        <v>6652.7286496350371</v>
      </c>
      <c r="E44" s="16">
        <f>E49-E48-E47-E46-E45</f>
        <v>5340</v>
      </c>
      <c r="F44" s="11">
        <f>D44/D$67</f>
        <v>0.42542806558996676</v>
      </c>
      <c r="G44" s="11">
        <f>E44/E$67</f>
        <v>0.35212660731948564</v>
      </c>
    </row>
    <row r="45" spans="2:7" x14ac:dyDescent="0.25">
      <c r="B45" s="15" t="s">
        <v>22</v>
      </c>
      <c r="C45" s="3"/>
      <c r="D45" s="63">
        <v>675</v>
      </c>
      <c r="E45" s="3">
        <v>725</v>
      </c>
      <c r="F45" s="11">
        <f t="shared" ref="F45:G67" si="1">D45/D$67</f>
        <v>4.3164836474877288E-2</v>
      </c>
      <c r="G45" s="11">
        <f t="shared" si="1"/>
        <v>4.7807451368282232E-2</v>
      </c>
    </row>
    <row r="46" spans="2:7" x14ac:dyDescent="0.25">
      <c r="B46" s="15" t="s">
        <v>23</v>
      </c>
      <c r="C46" s="3"/>
      <c r="D46" s="3">
        <f>D10/1000</f>
        <v>1985</v>
      </c>
      <c r="E46" s="3">
        <v>2190</v>
      </c>
      <c r="F46" s="11">
        <f t="shared" si="1"/>
        <v>0.12693659318908357</v>
      </c>
      <c r="G46" s="11">
        <f t="shared" si="1"/>
        <v>0.14441147378832839</v>
      </c>
    </row>
    <row r="47" spans="2:7" x14ac:dyDescent="0.25">
      <c r="B47" s="15" t="s">
        <v>8</v>
      </c>
      <c r="C47" s="3"/>
      <c r="D47" s="56">
        <f>D11/1000</f>
        <v>1685</v>
      </c>
      <c r="E47" s="3">
        <v>1560</v>
      </c>
      <c r="F47" s="11">
        <f t="shared" si="1"/>
        <v>0.10775222142247146</v>
      </c>
      <c r="G47" s="11">
        <f t="shared" si="1"/>
        <v>0.10286844708209693</v>
      </c>
    </row>
    <row r="48" spans="2:7" ht="17.25" x14ac:dyDescent="0.4">
      <c r="B48" s="17" t="s">
        <v>24</v>
      </c>
      <c r="C48" s="3"/>
      <c r="D48" s="64">
        <v>380</v>
      </c>
      <c r="E48" s="12">
        <v>420</v>
      </c>
      <c r="F48" s="11">
        <f t="shared" si="1"/>
        <v>2.4300204237708695E-2</v>
      </c>
      <c r="G48" s="11">
        <f t="shared" si="1"/>
        <v>2.7695351137487636E-2</v>
      </c>
    </row>
    <row r="49" spans="2:7" x14ac:dyDescent="0.25">
      <c r="B49" s="18" t="s">
        <v>25</v>
      </c>
      <c r="C49" s="18"/>
      <c r="D49" s="19">
        <f>D54-D53-D52</f>
        <v>11377.728649635037</v>
      </c>
      <c r="E49" s="19">
        <f>E54-E53-E52</f>
        <v>10235</v>
      </c>
      <c r="F49" s="11">
        <f t="shared" si="1"/>
        <v>0.72758192091410778</v>
      </c>
      <c r="G49" s="11">
        <f t="shared" si="1"/>
        <v>0.67490933069568082</v>
      </c>
    </row>
    <row r="50" spans="2:7" x14ac:dyDescent="0.25">
      <c r="B50" s="15" t="s">
        <v>26</v>
      </c>
      <c r="C50" s="3"/>
      <c r="D50" s="3">
        <f>E50+D14/1000</f>
        <v>7955</v>
      </c>
      <c r="E50" s="3">
        <v>7695</v>
      </c>
      <c r="F50" s="11">
        <f t="shared" si="1"/>
        <v>0.50870559134466498</v>
      </c>
      <c r="G50" s="11">
        <f t="shared" si="1"/>
        <v>0.50741839762611274</v>
      </c>
    </row>
    <row r="51" spans="2:7" ht="17.25" x14ac:dyDescent="0.4">
      <c r="B51" s="17" t="s">
        <v>27</v>
      </c>
      <c r="C51" s="3"/>
      <c r="D51" s="12">
        <f>E51+D28</f>
        <v>4435</v>
      </c>
      <c r="E51" s="12">
        <v>3590</v>
      </c>
      <c r="F51" s="11">
        <f t="shared" si="1"/>
        <v>0.28360896261641594</v>
      </c>
      <c r="G51" s="11">
        <f t="shared" si="1"/>
        <v>0.23672931091328717</v>
      </c>
    </row>
    <row r="52" spans="2:7" x14ac:dyDescent="0.25">
      <c r="B52" s="18" t="s">
        <v>28</v>
      </c>
      <c r="C52" s="3"/>
      <c r="D52" s="19">
        <f>D50-D51</f>
        <v>3520</v>
      </c>
      <c r="E52" s="19">
        <f>E50-E51</f>
        <v>4105</v>
      </c>
      <c r="F52" s="11">
        <f t="shared" si="1"/>
        <v>0.22509662872824895</v>
      </c>
      <c r="G52" s="11">
        <f t="shared" si="1"/>
        <v>0.2706890867128256</v>
      </c>
    </row>
    <row r="53" spans="2:7" ht="17.25" x14ac:dyDescent="0.4">
      <c r="B53" s="20" t="s">
        <v>29</v>
      </c>
      <c r="C53" s="3"/>
      <c r="D53" s="64">
        <v>740</v>
      </c>
      <c r="E53" s="12">
        <v>825</v>
      </c>
      <c r="F53" s="11">
        <f t="shared" si="1"/>
        <v>4.7321450357643249E-2</v>
      </c>
      <c r="G53" s="11">
        <f t="shared" si="1"/>
        <v>5.4401582591493573E-2</v>
      </c>
    </row>
    <row r="54" spans="2:7" x14ac:dyDescent="0.25">
      <c r="B54" s="21" t="s">
        <v>30</v>
      </c>
      <c r="C54" s="21"/>
      <c r="D54" s="22">
        <f>D67</f>
        <v>15637.728649635037</v>
      </c>
      <c r="E54" s="22">
        <f>E67</f>
        <v>15165</v>
      </c>
      <c r="F54" s="11">
        <f t="shared" si="1"/>
        <v>1</v>
      </c>
      <c r="G54" s="11">
        <f t="shared" si="1"/>
        <v>1</v>
      </c>
    </row>
    <row r="55" spans="2:7" x14ac:dyDescent="0.25">
      <c r="B55" s="3"/>
      <c r="C55" s="3"/>
      <c r="D55" s="3"/>
      <c r="E55" s="3"/>
      <c r="F55" s="11"/>
      <c r="G55" s="11"/>
    </row>
    <row r="56" spans="2:7" x14ac:dyDescent="0.25">
      <c r="B56" s="15" t="s">
        <v>31</v>
      </c>
      <c r="C56" s="3"/>
      <c r="D56" s="16">
        <f>D12/1000</f>
        <v>920</v>
      </c>
      <c r="E56" s="16">
        <v>1045</v>
      </c>
      <c r="F56" s="11">
        <f t="shared" si="1"/>
        <v>5.8832073417610528E-2</v>
      </c>
      <c r="G56" s="11">
        <f t="shared" si="1"/>
        <v>6.8908671282558523E-2</v>
      </c>
    </row>
    <row r="57" spans="2:7" x14ac:dyDescent="0.25">
      <c r="B57" s="15" t="s">
        <v>32</v>
      </c>
      <c r="C57" s="3"/>
      <c r="D57" s="63">
        <v>115</v>
      </c>
      <c r="E57" s="3">
        <v>150</v>
      </c>
      <c r="F57" s="11">
        <f t="shared" si="1"/>
        <v>7.354009177201316E-3</v>
      </c>
      <c r="G57" s="11">
        <f t="shared" si="1"/>
        <v>9.8911968348170121E-3</v>
      </c>
    </row>
    <row r="58" spans="2:7" x14ac:dyDescent="0.25">
      <c r="B58" s="15" t="s">
        <v>33</v>
      </c>
      <c r="C58" s="3"/>
      <c r="D58" s="63">
        <v>245</v>
      </c>
      <c r="E58" s="3">
        <v>360</v>
      </c>
      <c r="F58" s="11">
        <f t="shared" si="1"/>
        <v>1.5667236942733236E-2</v>
      </c>
      <c r="G58" s="11">
        <f t="shared" si="1"/>
        <v>2.3738872403560832E-2</v>
      </c>
    </row>
    <row r="59" spans="2:7" ht="17.25" x14ac:dyDescent="0.4">
      <c r="B59" s="17" t="s">
        <v>34</v>
      </c>
      <c r="C59" s="3"/>
      <c r="D59" s="64">
        <v>450</v>
      </c>
      <c r="E59" s="12">
        <v>320</v>
      </c>
      <c r="F59" s="11">
        <f t="shared" si="1"/>
        <v>2.8776557649918193E-2</v>
      </c>
      <c r="G59" s="11">
        <f t="shared" si="1"/>
        <v>2.1101219914276294E-2</v>
      </c>
    </row>
    <row r="60" spans="2:7" x14ac:dyDescent="0.25">
      <c r="B60" s="18" t="s">
        <v>35</v>
      </c>
      <c r="C60" s="3"/>
      <c r="D60" s="19">
        <f>SUM(D56:D59)</f>
        <v>1730</v>
      </c>
      <c r="E60" s="19">
        <f>SUM(E56:E59)</f>
        <v>1875</v>
      </c>
      <c r="F60" s="11">
        <f t="shared" si="1"/>
        <v>0.11062987718746327</v>
      </c>
      <c r="G60" s="11">
        <f t="shared" si="1"/>
        <v>0.12363996043521266</v>
      </c>
    </row>
    <row r="61" spans="2:7" ht="17.25" x14ac:dyDescent="0.4">
      <c r="B61" s="17" t="s">
        <v>36</v>
      </c>
      <c r="C61" s="3"/>
      <c r="D61" s="64">
        <v>4050</v>
      </c>
      <c r="E61" s="12">
        <v>3850</v>
      </c>
      <c r="F61" s="11">
        <f t="shared" si="1"/>
        <v>0.25898901884926373</v>
      </c>
      <c r="G61" s="11">
        <f t="shared" si="1"/>
        <v>0.25387405209363667</v>
      </c>
    </row>
    <row r="62" spans="2:7" x14ac:dyDescent="0.25">
      <c r="B62" s="18" t="s">
        <v>37</v>
      </c>
      <c r="C62" s="3"/>
      <c r="D62" s="19">
        <f>D60+D61</f>
        <v>5780</v>
      </c>
      <c r="E62" s="19">
        <f>E60+E61</f>
        <v>5725</v>
      </c>
      <c r="F62" s="11">
        <f t="shared" si="1"/>
        <v>0.36961889603672698</v>
      </c>
      <c r="G62" s="11">
        <f t="shared" si="1"/>
        <v>0.37751401252884931</v>
      </c>
    </row>
    <row r="63" spans="2:7" x14ac:dyDescent="0.25">
      <c r="B63" s="15" t="s">
        <v>38</v>
      </c>
      <c r="C63" s="3"/>
      <c r="D63" s="63">
        <v>4525</v>
      </c>
      <c r="E63" s="3">
        <v>4525</v>
      </c>
      <c r="F63" s="11">
        <f t="shared" si="1"/>
        <v>0.28936427414639959</v>
      </c>
      <c r="G63" s="11">
        <f t="shared" si="1"/>
        <v>0.29838443785031321</v>
      </c>
    </row>
    <row r="64" spans="2:7" x14ac:dyDescent="0.25">
      <c r="B64" s="15" t="s">
        <v>39</v>
      </c>
      <c r="C64" s="3"/>
      <c r="D64" s="63">
        <v>1450</v>
      </c>
      <c r="E64" s="3">
        <v>1450</v>
      </c>
      <c r="F64" s="11">
        <f t="shared" si="1"/>
        <v>9.272446353862529E-2</v>
      </c>
      <c r="G64" s="11">
        <f t="shared" si="1"/>
        <v>9.5614902736564464E-2</v>
      </c>
    </row>
    <row r="65" spans="2:7" ht="17.25" x14ac:dyDescent="0.4">
      <c r="B65" s="17" t="s">
        <v>40</v>
      </c>
      <c r="C65" s="3"/>
      <c r="D65" s="12">
        <f>D33-(D13*D4/1000)+E65</f>
        <v>3882.7286496350366</v>
      </c>
      <c r="E65" s="12">
        <v>3465</v>
      </c>
      <c r="F65" s="11">
        <f t="shared" si="1"/>
        <v>0.24829236627824811</v>
      </c>
      <c r="G65" s="11">
        <f t="shared" si="1"/>
        <v>0.228486646884273</v>
      </c>
    </row>
    <row r="66" spans="2:7" ht="17.25" x14ac:dyDescent="0.4">
      <c r="B66" s="23" t="s">
        <v>41</v>
      </c>
      <c r="C66" s="3"/>
      <c r="D66" s="24">
        <f>D63+D64+D65</f>
        <v>9857.7286496350371</v>
      </c>
      <c r="E66" s="24">
        <f>E63+E64+E65</f>
        <v>9440</v>
      </c>
      <c r="F66" s="11">
        <f t="shared" si="1"/>
        <v>0.63038110396327296</v>
      </c>
      <c r="G66" s="11">
        <f t="shared" si="1"/>
        <v>0.62248598747115069</v>
      </c>
    </row>
    <row r="67" spans="2:7" x14ac:dyDescent="0.25">
      <c r="B67" s="21" t="s">
        <v>42</v>
      </c>
      <c r="C67" s="21"/>
      <c r="D67" s="22">
        <f>D66+D62</f>
        <v>15637.728649635037</v>
      </c>
      <c r="E67" s="22">
        <f>E66+E62</f>
        <v>15165</v>
      </c>
      <c r="F67" s="11">
        <f t="shared" si="1"/>
        <v>1</v>
      </c>
      <c r="G67" s="11">
        <f t="shared" si="1"/>
        <v>1</v>
      </c>
    </row>
    <row r="68" spans="2:7" ht="15.75" thickBot="1" x14ac:dyDescent="0.3">
      <c r="B68" s="25"/>
      <c r="C68" s="25"/>
      <c r="D68" s="26"/>
      <c r="E68" s="26"/>
    </row>
    <row r="69" spans="2:7" ht="18.75" x14ac:dyDescent="0.3">
      <c r="B69" s="186" t="s">
        <v>43</v>
      </c>
      <c r="C69" s="186"/>
      <c r="D69" s="186"/>
      <c r="E69" s="186"/>
    </row>
    <row r="70" spans="2:7" ht="19.5" thickBot="1" x14ac:dyDescent="0.35">
      <c r="B70" s="187" t="s">
        <v>11</v>
      </c>
      <c r="C70" s="187"/>
      <c r="D70" s="187"/>
      <c r="E70" s="187"/>
    </row>
    <row r="72" spans="2:7" ht="17.25" x14ac:dyDescent="0.4">
      <c r="D72" s="188" t="s">
        <v>230</v>
      </c>
      <c r="E72" s="188"/>
    </row>
    <row r="73" spans="2:7" ht="15.75" x14ac:dyDescent="0.25">
      <c r="B73" s="27" t="s">
        <v>44</v>
      </c>
      <c r="C73" s="3"/>
      <c r="D73" s="3"/>
    </row>
    <row r="74" spans="2:7" x14ac:dyDescent="0.25">
      <c r="B74" s="15" t="s">
        <v>45</v>
      </c>
      <c r="C74" s="3"/>
      <c r="D74" s="3"/>
    </row>
    <row r="75" spans="2:7" x14ac:dyDescent="0.25">
      <c r="B75" s="15" t="s">
        <v>46</v>
      </c>
      <c r="C75" s="3"/>
    </row>
    <row r="76" spans="2:7" x14ac:dyDescent="0.25">
      <c r="B76" s="15" t="s">
        <v>47</v>
      </c>
      <c r="C76" s="3"/>
      <c r="D76" s="57">
        <f>E45-D45</f>
        <v>50</v>
      </c>
    </row>
    <row r="77" spans="2:7" x14ac:dyDescent="0.25">
      <c r="B77" s="15" t="s">
        <v>48</v>
      </c>
      <c r="C77" s="3"/>
    </row>
    <row r="78" spans="2:7" x14ac:dyDescent="0.25">
      <c r="B78" s="15" t="s">
        <v>49</v>
      </c>
      <c r="C78" s="3"/>
      <c r="D78" s="166">
        <f>E47-D47</f>
        <v>-125</v>
      </c>
    </row>
    <row r="79" spans="2:7" x14ac:dyDescent="0.25">
      <c r="B79" s="15" t="s">
        <v>50</v>
      </c>
      <c r="C79" s="3"/>
      <c r="D79" s="98"/>
    </row>
    <row r="80" spans="2:7" x14ac:dyDescent="0.25">
      <c r="B80" s="15" t="s">
        <v>51</v>
      </c>
      <c r="C80" s="3"/>
      <c r="D80" s="164"/>
    </row>
    <row r="81" spans="2:4" ht="17.25" x14ac:dyDescent="0.4">
      <c r="B81" s="17" t="s">
        <v>52</v>
      </c>
      <c r="C81" s="3"/>
      <c r="D81" s="166">
        <f>D59-E59</f>
        <v>130</v>
      </c>
    </row>
    <row r="82" spans="2:4" x14ac:dyDescent="0.25">
      <c r="B82" s="18" t="s">
        <v>53</v>
      </c>
      <c r="C82" s="18"/>
      <c r="D82" s="18"/>
    </row>
    <row r="83" spans="2:4" x14ac:dyDescent="0.25">
      <c r="B83" s="3"/>
      <c r="C83" s="3"/>
      <c r="D83" s="3"/>
    </row>
    <row r="84" spans="2:4" x14ac:dyDescent="0.25">
      <c r="B84" s="18" t="s">
        <v>54</v>
      </c>
      <c r="C84" s="3"/>
      <c r="D84" s="3"/>
    </row>
    <row r="85" spans="2:4" x14ac:dyDescent="0.25">
      <c r="B85" s="15" t="s">
        <v>55</v>
      </c>
      <c r="C85" s="3"/>
    </row>
    <row r="86" spans="2:4" ht="17.25" x14ac:dyDescent="0.4">
      <c r="B86" s="17" t="s">
        <v>56</v>
      </c>
      <c r="C86" s="3"/>
      <c r="D86" s="57">
        <f>E53-D53</f>
        <v>85</v>
      </c>
    </row>
    <row r="87" spans="2:4" x14ac:dyDescent="0.25">
      <c r="B87" s="18" t="s">
        <v>57</v>
      </c>
      <c r="C87" s="18"/>
      <c r="D87" s="18"/>
    </row>
    <row r="88" spans="2:4" x14ac:dyDescent="0.25">
      <c r="B88" s="3"/>
      <c r="C88" s="3"/>
    </row>
    <row r="89" spans="2:4" x14ac:dyDescent="0.25">
      <c r="B89" s="18" t="s">
        <v>58</v>
      </c>
      <c r="C89" s="3"/>
      <c r="D89" s="3"/>
    </row>
    <row r="90" spans="2:4" x14ac:dyDescent="0.25">
      <c r="B90" s="15" t="s">
        <v>98</v>
      </c>
      <c r="C90" s="3"/>
      <c r="D90" s="166">
        <f>D57-E57</f>
        <v>-35</v>
      </c>
    </row>
    <row r="91" spans="2:4" x14ac:dyDescent="0.25">
      <c r="B91" s="15" t="s">
        <v>59</v>
      </c>
      <c r="C91" s="3"/>
      <c r="D91" s="164"/>
    </row>
    <row r="92" spans="2:4" x14ac:dyDescent="0.25">
      <c r="B92" s="15" t="s">
        <v>60</v>
      </c>
      <c r="C92" s="3"/>
    </row>
    <row r="93" spans="2:4" x14ac:dyDescent="0.25">
      <c r="B93" s="15" t="s">
        <v>61</v>
      </c>
      <c r="C93" s="3"/>
      <c r="D93" s="18"/>
    </row>
    <row r="94" spans="2:4" ht="17.25" x14ac:dyDescent="0.4">
      <c r="B94" s="17" t="s">
        <v>62</v>
      </c>
      <c r="C94" s="3"/>
      <c r="D94" s="57">
        <f>-D13*D4/1000</f>
        <v>-125</v>
      </c>
    </row>
    <row r="95" spans="2:4" x14ac:dyDescent="0.25">
      <c r="B95" s="18" t="s">
        <v>63</v>
      </c>
      <c r="C95" s="3"/>
      <c r="D95" s="18"/>
    </row>
    <row r="96" spans="2:4" x14ac:dyDescent="0.25">
      <c r="B96" s="3"/>
      <c r="C96" s="3"/>
      <c r="D96" s="3"/>
    </row>
    <row r="97" spans="2:4" x14ac:dyDescent="0.25">
      <c r="B97" s="21" t="s">
        <v>64</v>
      </c>
      <c r="C97" s="21"/>
      <c r="D97" s="21"/>
    </row>
  </sheetData>
  <mergeCells count="10">
    <mergeCell ref="B41:G41"/>
    <mergeCell ref="B69:E69"/>
    <mergeCell ref="B70:E70"/>
    <mergeCell ref="D72:E72"/>
    <mergeCell ref="B2:D2"/>
    <mergeCell ref="B18:G18"/>
    <mergeCell ref="B20:G20"/>
    <mergeCell ref="B39:G39"/>
    <mergeCell ref="B19:G19"/>
    <mergeCell ref="B40:G40"/>
  </mergeCells>
  <pageMargins left="0.7" right="0.7" top="0.75" bottom="0.75" header="0.3" footer="0.3"/>
  <pageSetup scale="6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9:T55"/>
  <sheetViews>
    <sheetView topLeftCell="A3" zoomScaleNormal="100" workbookViewId="0"/>
  </sheetViews>
  <sheetFormatPr defaultRowHeight="15" x14ac:dyDescent="0.25"/>
  <cols>
    <col min="2" max="2" width="33.42578125" customWidth="1"/>
    <col min="5" max="14" width="9.85546875" customWidth="1"/>
  </cols>
  <sheetData>
    <row r="19" spans="2:20" ht="15.75" thickBot="1" x14ac:dyDescent="0.3">
      <c r="B19" s="30"/>
      <c r="C19" s="30"/>
      <c r="D19" s="30"/>
      <c r="E19" s="30"/>
      <c r="F19" s="30"/>
      <c r="G19" s="30"/>
      <c r="H19" s="30"/>
      <c r="I19" s="30"/>
      <c r="J19" s="30"/>
      <c r="K19" s="30"/>
      <c r="L19" s="30"/>
      <c r="M19" s="30"/>
      <c r="N19" s="30"/>
    </row>
    <row r="20" spans="2:20" ht="22.5" customHeight="1" thickBot="1" x14ac:dyDescent="0.3">
      <c r="B20" s="191" t="s">
        <v>93</v>
      </c>
      <c r="C20" s="192"/>
      <c r="D20" s="192"/>
      <c r="E20" s="192"/>
      <c r="F20" s="192"/>
      <c r="G20" s="192"/>
      <c r="H20" s="192"/>
      <c r="I20" s="192"/>
      <c r="J20" s="192"/>
      <c r="K20" s="192"/>
      <c r="L20" s="192"/>
      <c r="M20" s="192"/>
      <c r="N20" s="193"/>
    </row>
    <row r="21" spans="2:20" ht="15.75" thickBot="1" x14ac:dyDescent="0.3">
      <c r="B21" s="30"/>
      <c r="C21" s="30"/>
      <c r="D21" s="30"/>
      <c r="E21" s="30"/>
      <c r="F21" s="30"/>
      <c r="G21" s="30"/>
      <c r="H21" s="30"/>
      <c r="I21" s="30"/>
      <c r="J21" s="30"/>
      <c r="K21" s="30"/>
      <c r="L21" s="30"/>
      <c r="M21" s="30"/>
      <c r="N21" s="30"/>
    </row>
    <row r="22" spans="2:20" ht="15.75" thickBot="1" x14ac:dyDescent="0.3">
      <c r="B22" s="46" t="s">
        <v>99</v>
      </c>
      <c r="C22" s="31"/>
      <c r="D22" s="30"/>
      <c r="E22" s="30"/>
      <c r="F22" s="44">
        <v>0.6</v>
      </c>
      <c r="G22" s="30"/>
      <c r="H22" s="33" t="s">
        <v>100</v>
      </c>
      <c r="I22" s="30"/>
      <c r="J22" s="30"/>
      <c r="K22" s="30"/>
      <c r="L22" s="43">
        <v>125000</v>
      </c>
      <c r="M22" s="30"/>
      <c r="N22" s="30"/>
    </row>
    <row r="23" spans="2:20" ht="15.75" thickBot="1" x14ac:dyDescent="0.3">
      <c r="B23" s="46" t="s">
        <v>101</v>
      </c>
      <c r="C23" s="31"/>
      <c r="D23" s="30"/>
      <c r="E23" s="30"/>
      <c r="F23" s="44">
        <v>0.1</v>
      </c>
      <c r="G23" s="30"/>
      <c r="H23" s="30"/>
      <c r="I23" s="30"/>
      <c r="J23" s="30"/>
      <c r="K23" s="30"/>
      <c r="L23" s="30"/>
      <c r="M23" s="30"/>
      <c r="N23" s="30"/>
      <c r="T23" t="s">
        <v>78</v>
      </c>
    </row>
    <row r="24" spans="2:20" ht="15.75" thickBot="1" x14ac:dyDescent="0.3">
      <c r="B24" s="46" t="s">
        <v>102</v>
      </c>
      <c r="C24" s="31"/>
      <c r="D24" s="30"/>
      <c r="E24" s="30"/>
      <c r="F24" s="44">
        <v>0.3</v>
      </c>
      <c r="G24" s="30"/>
      <c r="H24" s="33" t="s">
        <v>103</v>
      </c>
      <c r="I24" s="30"/>
      <c r="J24" s="30"/>
      <c r="K24" s="30"/>
      <c r="L24" s="38" t="s">
        <v>135</v>
      </c>
      <c r="M24" s="30"/>
      <c r="N24" s="30"/>
      <c r="T24" t="s">
        <v>134</v>
      </c>
    </row>
    <row r="25" spans="2:20" ht="15.75" thickBot="1" x14ac:dyDescent="0.3">
      <c r="B25" s="36"/>
      <c r="C25" s="31"/>
      <c r="D25" s="30"/>
      <c r="E25" s="30"/>
      <c r="F25" s="98"/>
      <c r="G25" s="30"/>
      <c r="H25" s="30"/>
      <c r="I25" s="30"/>
      <c r="J25" s="30"/>
      <c r="K25" s="30"/>
      <c r="L25" s="30"/>
      <c r="M25" s="30"/>
      <c r="N25" s="30"/>
      <c r="T25" t="s">
        <v>135</v>
      </c>
    </row>
    <row r="26" spans="2:20" ht="15.75" thickBot="1" x14ac:dyDescent="0.3">
      <c r="B26" s="33" t="s">
        <v>104</v>
      </c>
      <c r="C26" s="31"/>
      <c r="D26" s="30"/>
      <c r="E26" s="30"/>
      <c r="F26" s="44">
        <v>0.25</v>
      </c>
      <c r="G26" s="30"/>
      <c r="H26" s="46" t="s">
        <v>94</v>
      </c>
      <c r="I26" s="30"/>
      <c r="J26" s="30"/>
      <c r="K26" s="30"/>
      <c r="L26" s="43">
        <v>20000</v>
      </c>
      <c r="M26" s="30"/>
      <c r="N26" s="30"/>
      <c r="T26" t="s">
        <v>136</v>
      </c>
    </row>
    <row r="27" spans="2:20" x14ac:dyDescent="0.25">
      <c r="B27" s="30"/>
      <c r="C27" s="31"/>
      <c r="D27" s="30"/>
      <c r="E27" s="30"/>
      <c r="F27" s="30"/>
      <c r="G27" s="30"/>
      <c r="H27" s="30"/>
      <c r="I27" s="30"/>
      <c r="J27" s="30"/>
      <c r="K27" s="30"/>
      <c r="L27" s="30"/>
      <c r="M27" s="30"/>
      <c r="N27" s="30"/>
    </row>
    <row r="28" spans="2:20" ht="17.25" x14ac:dyDescent="0.4">
      <c r="B28" s="36"/>
      <c r="C28" s="42" t="s">
        <v>74</v>
      </c>
      <c r="D28" s="42" t="s">
        <v>75</v>
      </c>
      <c r="E28" s="42" t="s">
        <v>76</v>
      </c>
      <c r="F28" s="42" t="s">
        <v>77</v>
      </c>
      <c r="G28" s="42" t="s">
        <v>78</v>
      </c>
      <c r="H28" s="42" t="s">
        <v>79</v>
      </c>
      <c r="I28" s="42" t="s">
        <v>80</v>
      </c>
      <c r="J28" s="42" t="s">
        <v>81</v>
      </c>
      <c r="K28" s="42" t="s">
        <v>82</v>
      </c>
      <c r="L28" s="42" t="s">
        <v>83</v>
      </c>
      <c r="M28" s="42" t="s">
        <v>84</v>
      </c>
      <c r="N28" s="42" t="s">
        <v>85</v>
      </c>
    </row>
    <row r="29" spans="2:20" x14ac:dyDescent="0.25">
      <c r="B29" s="33" t="s">
        <v>105</v>
      </c>
      <c r="C29" s="59">
        <v>12500</v>
      </c>
      <c r="D29" s="59">
        <v>13690</v>
      </c>
      <c r="E29" s="59">
        <v>15245</v>
      </c>
      <c r="F29" s="58">
        <v>17560</v>
      </c>
      <c r="G29" s="58">
        <v>19800</v>
      </c>
      <c r="H29" s="58">
        <v>21240</v>
      </c>
      <c r="I29" s="58">
        <v>17240</v>
      </c>
      <c r="J29" s="58">
        <v>16920</v>
      </c>
      <c r="K29" s="58">
        <v>17490</v>
      </c>
      <c r="L29" s="58">
        <v>19220</v>
      </c>
      <c r="M29" s="58">
        <v>23100</v>
      </c>
      <c r="N29" s="58">
        <v>25420</v>
      </c>
    </row>
    <row r="30" spans="2:20" x14ac:dyDescent="0.25">
      <c r="B30" s="30"/>
      <c r="C30" s="31"/>
      <c r="D30" s="31"/>
      <c r="E30" s="31"/>
      <c r="F30" s="31"/>
      <c r="G30" s="31"/>
      <c r="H30" s="31"/>
      <c r="I30" s="31"/>
      <c r="J30" s="31"/>
      <c r="K30" s="31"/>
      <c r="L30" s="31"/>
      <c r="M30" s="31"/>
      <c r="N30" s="31"/>
    </row>
    <row r="31" spans="2:20" x14ac:dyDescent="0.25">
      <c r="B31" s="36" t="s">
        <v>106</v>
      </c>
      <c r="C31" s="31"/>
      <c r="D31" s="31"/>
      <c r="E31" s="31"/>
      <c r="F31" s="48">
        <f t="shared" ref="F31:N31" si="0">F29*Collect0+E29*Collect1+D29*Collect2</f>
        <v>16167.5</v>
      </c>
      <c r="G31" s="48">
        <f t="shared" si="0"/>
        <v>18209.5</v>
      </c>
      <c r="H31" s="48">
        <f t="shared" si="0"/>
        <v>19992</v>
      </c>
      <c r="I31" s="48">
        <f t="shared" si="0"/>
        <v>18408</v>
      </c>
      <c r="J31" s="48">
        <f t="shared" si="0"/>
        <v>18248</v>
      </c>
      <c r="K31" s="48">
        <f t="shared" si="0"/>
        <v>17358</v>
      </c>
      <c r="L31" s="48">
        <f t="shared" si="0"/>
        <v>18357</v>
      </c>
      <c r="M31" s="48">
        <f t="shared" si="0"/>
        <v>21029</v>
      </c>
      <c r="N31" s="48">
        <f t="shared" si="0"/>
        <v>23328</v>
      </c>
    </row>
    <row r="32" spans="2:20" x14ac:dyDescent="0.25">
      <c r="B32" s="36"/>
      <c r="C32" s="31"/>
      <c r="D32" s="31"/>
      <c r="E32" s="31"/>
      <c r="F32" s="31"/>
      <c r="G32" s="31"/>
      <c r="H32" s="31"/>
      <c r="I32" s="31"/>
      <c r="J32" s="31"/>
      <c r="K32" s="31"/>
      <c r="L32" s="31"/>
      <c r="M32" s="31"/>
      <c r="N32" s="31"/>
    </row>
    <row r="33" spans="2:15" x14ac:dyDescent="0.25">
      <c r="B33" s="36" t="s">
        <v>107</v>
      </c>
      <c r="C33" s="31"/>
      <c r="D33" s="31"/>
      <c r="E33" s="31"/>
      <c r="F33" s="48">
        <f>F29*$F$26</f>
        <v>4390</v>
      </c>
      <c r="G33" s="48">
        <f t="shared" ref="G33:N33" si="1">G29*$F$26</f>
        <v>4950</v>
      </c>
      <c r="H33" s="48">
        <f t="shared" si="1"/>
        <v>5310</v>
      </c>
      <c r="I33" s="48">
        <f t="shared" si="1"/>
        <v>4310</v>
      </c>
      <c r="J33" s="48">
        <f t="shared" si="1"/>
        <v>4230</v>
      </c>
      <c r="K33" s="48">
        <f t="shared" si="1"/>
        <v>4372.5</v>
      </c>
      <c r="L33" s="48">
        <f t="shared" si="1"/>
        <v>4805</v>
      </c>
      <c r="M33" s="48">
        <f t="shared" si="1"/>
        <v>5775</v>
      </c>
      <c r="N33" s="48">
        <f t="shared" si="1"/>
        <v>6355</v>
      </c>
      <c r="O33" s="30"/>
    </row>
    <row r="34" spans="2:15" x14ac:dyDescent="0.25">
      <c r="B34" s="36" t="s">
        <v>3</v>
      </c>
      <c r="C34" s="31"/>
      <c r="D34" s="31"/>
      <c r="E34" s="31"/>
      <c r="F34" s="45">
        <v>3000</v>
      </c>
      <c r="G34" s="167">
        <v>3000</v>
      </c>
      <c r="H34" s="167">
        <v>3000</v>
      </c>
      <c r="I34" s="167">
        <v>3000</v>
      </c>
      <c r="J34" s="167">
        <v>3000</v>
      </c>
      <c r="K34" s="167">
        <v>3000</v>
      </c>
      <c r="L34" s="167">
        <v>3000</v>
      </c>
      <c r="M34" s="167">
        <v>3000</v>
      </c>
      <c r="N34" s="167">
        <v>3000</v>
      </c>
      <c r="O34" s="30"/>
    </row>
    <row r="35" spans="2:15" x14ac:dyDescent="0.25">
      <c r="B35" s="36" t="s">
        <v>96</v>
      </c>
      <c r="C35" s="31"/>
      <c r="D35" s="31"/>
      <c r="E35" s="31"/>
      <c r="F35" s="45">
        <v>1250</v>
      </c>
      <c r="G35" s="45">
        <v>0</v>
      </c>
      <c r="H35" s="45">
        <v>0</v>
      </c>
      <c r="I35" s="45">
        <v>1250</v>
      </c>
      <c r="J35" s="45">
        <v>0</v>
      </c>
      <c r="K35" s="45">
        <v>0</v>
      </c>
      <c r="L35" s="45">
        <v>1250</v>
      </c>
      <c r="M35" s="45">
        <v>0</v>
      </c>
      <c r="N35" s="45">
        <v>0</v>
      </c>
      <c r="O35" s="30"/>
    </row>
    <row r="36" spans="2:15" x14ac:dyDescent="0.25">
      <c r="B36" s="36" t="s">
        <v>108</v>
      </c>
      <c r="C36" s="31"/>
      <c r="D36" s="31"/>
      <c r="E36" s="31"/>
      <c r="F36" s="45">
        <v>0</v>
      </c>
      <c r="G36" s="48">
        <f>IF($L$24="May",$L$22,0)</f>
        <v>0</v>
      </c>
      <c r="H36" s="48">
        <f>IF($L$24="June",$L$22,0)</f>
        <v>0</v>
      </c>
      <c r="I36" s="48">
        <f>IF($L$24="July",$L$22,0)</f>
        <v>125000</v>
      </c>
      <c r="J36" s="48">
        <f>IF($L$24="August",$L$22,0)</f>
        <v>0</v>
      </c>
      <c r="K36" s="45">
        <v>0</v>
      </c>
      <c r="L36" s="45">
        <v>0</v>
      </c>
      <c r="M36" s="45">
        <v>0</v>
      </c>
      <c r="N36" s="45">
        <v>0</v>
      </c>
      <c r="O36" s="30"/>
    </row>
    <row r="37" spans="2:15" ht="17.25" x14ac:dyDescent="0.4">
      <c r="B37" s="49" t="s">
        <v>97</v>
      </c>
      <c r="C37" s="31"/>
      <c r="D37" s="31"/>
      <c r="E37" s="31"/>
      <c r="F37" s="47">
        <v>850</v>
      </c>
      <c r="G37" s="47">
        <v>0</v>
      </c>
      <c r="H37" s="47">
        <v>0</v>
      </c>
      <c r="I37" s="47">
        <v>980</v>
      </c>
      <c r="J37" s="47">
        <v>0</v>
      </c>
      <c r="K37" s="47">
        <v>0</v>
      </c>
      <c r="L37" s="47">
        <v>1025</v>
      </c>
      <c r="M37" s="47">
        <v>0</v>
      </c>
      <c r="N37" s="47">
        <v>0</v>
      </c>
      <c r="O37" s="30"/>
    </row>
    <row r="38" spans="2:15" x14ac:dyDescent="0.25">
      <c r="B38" s="36" t="s">
        <v>109</v>
      </c>
      <c r="C38" s="31"/>
      <c r="D38" s="31"/>
      <c r="E38" s="31"/>
      <c r="F38" s="45">
        <f>SUM(F33:F37)</f>
        <v>9490</v>
      </c>
      <c r="G38" s="59">
        <f t="shared" ref="G38:N38" si="2">SUM(G33:G37)</f>
        <v>7950</v>
      </c>
      <c r="H38" s="59">
        <f t="shared" si="2"/>
        <v>8310</v>
      </c>
      <c r="I38" s="59">
        <f t="shared" si="2"/>
        <v>134540</v>
      </c>
      <c r="J38" s="59">
        <f t="shared" si="2"/>
        <v>7230</v>
      </c>
      <c r="K38" s="59">
        <f t="shared" si="2"/>
        <v>7372.5</v>
      </c>
      <c r="L38" s="59">
        <f t="shared" si="2"/>
        <v>10080</v>
      </c>
      <c r="M38" s="59">
        <f t="shared" si="2"/>
        <v>8775</v>
      </c>
      <c r="N38" s="59">
        <f t="shared" si="2"/>
        <v>9355</v>
      </c>
      <c r="O38" s="30"/>
    </row>
    <row r="39" spans="2:15" ht="15.75" thickBot="1" x14ac:dyDescent="0.3">
      <c r="B39" s="32"/>
      <c r="C39" s="32"/>
      <c r="D39" s="32"/>
      <c r="E39" s="32"/>
      <c r="F39" s="32"/>
      <c r="G39" s="32"/>
      <c r="H39" s="32"/>
      <c r="I39" s="32"/>
      <c r="J39" s="32"/>
      <c r="K39" s="32"/>
      <c r="L39" s="32"/>
      <c r="M39" s="32"/>
      <c r="N39" s="32"/>
      <c r="O39" s="30"/>
    </row>
    <row r="40" spans="2:15" ht="21.6" customHeight="1" thickBot="1" x14ac:dyDescent="0.3">
      <c r="B40" s="194" t="s">
        <v>95</v>
      </c>
      <c r="C40" s="194"/>
      <c r="D40" s="194"/>
      <c r="E40" s="194"/>
      <c r="F40" s="194"/>
      <c r="G40" s="194"/>
      <c r="H40" s="194"/>
      <c r="I40" s="194"/>
      <c r="J40" s="194"/>
      <c r="K40" s="194"/>
      <c r="L40" s="194"/>
      <c r="M40" s="194"/>
      <c r="N40" s="194"/>
      <c r="O40" s="30"/>
    </row>
    <row r="41" spans="2:15" ht="21.6" customHeight="1" thickBot="1" x14ac:dyDescent="0.3">
      <c r="B41" s="40"/>
      <c r="C41" s="41"/>
      <c r="D41" s="41"/>
      <c r="E41" s="41" t="s">
        <v>76</v>
      </c>
      <c r="F41" s="41" t="s">
        <v>77</v>
      </c>
      <c r="G41" s="41" t="s">
        <v>78</v>
      </c>
      <c r="H41" s="41" t="s">
        <v>79</v>
      </c>
      <c r="I41" s="41" t="s">
        <v>80</v>
      </c>
      <c r="J41" s="41" t="s">
        <v>81</v>
      </c>
      <c r="K41" s="41" t="s">
        <v>82</v>
      </c>
      <c r="L41" s="41" t="s">
        <v>83</v>
      </c>
      <c r="M41" s="41" t="s">
        <v>84</v>
      </c>
      <c r="N41" s="41" t="s">
        <v>85</v>
      </c>
      <c r="O41" s="39"/>
    </row>
    <row r="42" spans="2:15" ht="19.5" customHeight="1" x14ac:dyDescent="0.25">
      <c r="B42" s="33" t="s">
        <v>86</v>
      </c>
      <c r="C42" s="33"/>
      <c r="D42" s="33"/>
      <c r="E42" s="33"/>
      <c r="F42" s="33">
        <f>E46</f>
        <v>22500</v>
      </c>
      <c r="G42" s="60">
        <f t="shared" ref="G42:N42" si="3">F46</f>
        <v>20000</v>
      </c>
      <c r="H42" s="60">
        <f t="shared" si="3"/>
        <v>20000</v>
      </c>
      <c r="I42" s="60">
        <f t="shared" si="3"/>
        <v>20000</v>
      </c>
      <c r="J42" s="60">
        <f t="shared" si="3"/>
        <v>20000</v>
      </c>
      <c r="K42" s="60">
        <f t="shared" si="3"/>
        <v>20000</v>
      </c>
      <c r="L42" s="60">
        <f t="shared" si="3"/>
        <v>20000</v>
      </c>
      <c r="M42" s="60">
        <f t="shared" si="3"/>
        <v>20000</v>
      </c>
      <c r="N42" s="60">
        <f t="shared" si="3"/>
        <v>20000</v>
      </c>
      <c r="O42" s="30"/>
    </row>
    <row r="43" spans="2:15" ht="17.25" x14ac:dyDescent="0.4">
      <c r="B43" s="34" t="s">
        <v>87</v>
      </c>
      <c r="C43" s="35"/>
      <c r="D43" s="35"/>
      <c r="E43" s="35"/>
      <c r="F43" s="35">
        <f>F31-F38</f>
        <v>6677.5</v>
      </c>
      <c r="G43" s="35">
        <f t="shared" ref="G43:N43" si="4">G31-G38</f>
        <v>10259.5</v>
      </c>
      <c r="H43" s="35">
        <f t="shared" si="4"/>
        <v>11682</v>
      </c>
      <c r="I43" s="35">
        <f t="shared" si="4"/>
        <v>-116132</v>
      </c>
      <c r="J43" s="35">
        <f t="shared" si="4"/>
        <v>11018</v>
      </c>
      <c r="K43" s="35">
        <f t="shared" si="4"/>
        <v>9985.5</v>
      </c>
      <c r="L43" s="35">
        <f t="shared" si="4"/>
        <v>8277</v>
      </c>
      <c r="M43" s="35">
        <f t="shared" si="4"/>
        <v>12254</v>
      </c>
      <c r="N43" s="35">
        <f t="shared" si="4"/>
        <v>13973</v>
      </c>
      <c r="O43" s="30"/>
    </row>
    <row r="44" spans="2:15" x14ac:dyDescent="0.25">
      <c r="B44" s="36" t="s">
        <v>88</v>
      </c>
      <c r="C44" s="36"/>
      <c r="D44" s="36"/>
      <c r="E44" s="36"/>
      <c r="F44" s="36">
        <f>F42+F43</f>
        <v>29177.5</v>
      </c>
      <c r="G44" s="61">
        <f t="shared" ref="G44:N44" si="5">G42+G43</f>
        <v>30259.5</v>
      </c>
      <c r="H44" s="61">
        <f t="shared" si="5"/>
        <v>31682</v>
      </c>
      <c r="I44" s="61">
        <f t="shared" si="5"/>
        <v>-96132</v>
      </c>
      <c r="J44" s="61">
        <f t="shared" si="5"/>
        <v>31018</v>
      </c>
      <c r="K44" s="61">
        <f t="shared" si="5"/>
        <v>29985.5</v>
      </c>
      <c r="L44" s="61">
        <f t="shared" si="5"/>
        <v>28277</v>
      </c>
      <c r="M44" s="61">
        <f t="shared" si="5"/>
        <v>32254</v>
      </c>
      <c r="N44" s="61">
        <f t="shared" si="5"/>
        <v>33973</v>
      </c>
      <c r="O44" s="36"/>
    </row>
    <row r="45" spans="2:15" ht="17.25" x14ac:dyDescent="0.4">
      <c r="B45" s="34" t="s">
        <v>89</v>
      </c>
      <c r="C45" s="35"/>
      <c r="D45" s="35"/>
      <c r="E45" s="35"/>
      <c r="F45" s="35">
        <f>F46-F44</f>
        <v>-9177.5</v>
      </c>
      <c r="G45" s="35">
        <f t="shared" ref="G45:N45" si="6">G46-G44</f>
        <v>-10259.5</v>
      </c>
      <c r="H45" s="35">
        <f t="shared" si="6"/>
        <v>-11682</v>
      </c>
      <c r="I45" s="35">
        <f t="shared" si="6"/>
        <v>116132</v>
      </c>
      <c r="J45" s="35">
        <f t="shared" si="6"/>
        <v>-11018</v>
      </c>
      <c r="K45" s="35">
        <f t="shared" si="6"/>
        <v>-9985.5</v>
      </c>
      <c r="L45" s="35">
        <f t="shared" si="6"/>
        <v>-8277</v>
      </c>
      <c r="M45" s="35">
        <f t="shared" si="6"/>
        <v>-12254</v>
      </c>
      <c r="N45" s="35">
        <f t="shared" si="6"/>
        <v>-13973</v>
      </c>
      <c r="O45" s="30"/>
    </row>
    <row r="46" spans="2:15" x14ac:dyDescent="0.25">
      <c r="B46" s="36" t="s">
        <v>90</v>
      </c>
      <c r="C46" s="36"/>
      <c r="D46" s="36"/>
      <c r="E46" s="36">
        <v>22500</v>
      </c>
      <c r="F46" s="36">
        <f>L26</f>
        <v>20000</v>
      </c>
      <c r="G46" s="36">
        <f>F46</f>
        <v>20000</v>
      </c>
      <c r="H46" s="61">
        <f t="shared" ref="H46:N46" si="7">G46</f>
        <v>20000</v>
      </c>
      <c r="I46" s="61">
        <f t="shared" si="7"/>
        <v>20000</v>
      </c>
      <c r="J46" s="61">
        <f t="shared" si="7"/>
        <v>20000</v>
      </c>
      <c r="K46" s="61">
        <f t="shared" si="7"/>
        <v>20000</v>
      </c>
      <c r="L46" s="61">
        <f t="shared" si="7"/>
        <v>20000</v>
      </c>
      <c r="M46" s="61">
        <f t="shared" si="7"/>
        <v>20000</v>
      </c>
      <c r="N46" s="61">
        <f t="shared" si="7"/>
        <v>20000</v>
      </c>
      <c r="O46" s="36"/>
    </row>
    <row r="47" spans="2:15" ht="6.95" customHeight="1" thickBot="1" x14ac:dyDescent="0.3">
      <c r="B47" s="32"/>
      <c r="C47" s="32"/>
      <c r="D47" s="32"/>
      <c r="E47" s="32"/>
      <c r="F47" s="32"/>
      <c r="G47" s="32"/>
      <c r="H47" s="32"/>
      <c r="I47" s="32"/>
      <c r="J47" s="32"/>
      <c r="K47" s="32"/>
      <c r="L47" s="32"/>
      <c r="M47" s="32"/>
      <c r="N47" s="32"/>
      <c r="O47" s="30"/>
    </row>
    <row r="48" spans="2:15" ht="17.25" x14ac:dyDescent="0.4">
      <c r="B48" s="37" t="s">
        <v>137</v>
      </c>
      <c r="C48" s="36"/>
      <c r="D48" s="36"/>
      <c r="E48" s="33"/>
      <c r="F48" s="33">
        <f>F45</f>
        <v>-9177.5</v>
      </c>
      <c r="G48" s="33">
        <f>F48+G45</f>
        <v>-19437</v>
      </c>
      <c r="H48" s="60">
        <f t="shared" ref="H48:N48" si="8">G48+H45</f>
        <v>-31119</v>
      </c>
      <c r="I48" s="60">
        <f t="shared" si="8"/>
        <v>85013</v>
      </c>
      <c r="J48" s="60">
        <f t="shared" si="8"/>
        <v>73995</v>
      </c>
      <c r="K48" s="60">
        <f t="shared" si="8"/>
        <v>64009.5</v>
      </c>
      <c r="L48" s="60">
        <f t="shared" si="8"/>
        <v>55732.5</v>
      </c>
      <c r="M48" s="60">
        <f t="shared" si="8"/>
        <v>43478.5</v>
      </c>
      <c r="N48" s="60">
        <f t="shared" si="8"/>
        <v>29505.5</v>
      </c>
      <c r="O48" s="35"/>
    </row>
    <row r="49" spans="2:14" ht="15.75" thickBot="1" x14ac:dyDescent="0.3">
      <c r="B49" s="32"/>
      <c r="C49" s="32"/>
      <c r="D49" s="32"/>
      <c r="E49" s="33"/>
      <c r="F49" s="33"/>
      <c r="G49" s="33"/>
      <c r="H49" s="33"/>
      <c r="I49" s="33"/>
      <c r="J49" s="33"/>
      <c r="K49" s="33"/>
      <c r="L49" s="33"/>
      <c r="M49" s="33"/>
      <c r="N49" s="33"/>
    </row>
    <row r="50" spans="2:14" ht="19.5" thickBot="1" x14ac:dyDescent="0.3">
      <c r="B50" s="194" t="s">
        <v>110</v>
      </c>
      <c r="C50" s="194"/>
      <c r="D50" s="194"/>
      <c r="E50" s="194"/>
      <c r="F50" s="194"/>
      <c r="G50" s="194"/>
      <c r="H50" s="194"/>
      <c r="I50" s="194"/>
      <c r="J50" s="194"/>
      <c r="K50" s="194"/>
      <c r="L50" s="194"/>
      <c r="M50" s="194"/>
      <c r="N50" s="194"/>
    </row>
    <row r="51" spans="2:14" ht="15.75" thickBot="1" x14ac:dyDescent="0.3">
      <c r="B51" s="40"/>
      <c r="C51" s="41"/>
      <c r="D51" s="41"/>
      <c r="E51" s="41" t="s">
        <v>76</v>
      </c>
      <c r="F51" s="41" t="s">
        <v>77</v>
      </c>
      <c r="G51" s="41" t="s">
        <v>78</v>
      </c>
      <c r="H51" s="41" t="s">
        <v>79</v>
      </c>
      <c r="I51" s="41" t="s">
        <v>80</v>
      </c>
      <c r="J51" s="41" t="s">
        <v>81</v>
      </c>
      <c r="K51" s="41" t="s">
        <v>82</v>
      </c>
      <c r="L51" s="41" t="s">
        <v>83</v>
      </c>
      <c r="M51" s="41" t="s">
        <v>84</v>
      </c>
      <c r="N51" s="41" t="s">
        <v>85</v>
      </c>
    </row>
    <row r="52" spans="2:14" ht="24.95" customHeight="1" x14ac:dyDescent="0.25">
      <c r="B52" s="33" t="s">
        <v>91</v>
      </c>
      <c r="C52" s="33"/>
      <c r="D52" s="33"/>
      <c r="E52" s="33">
        <v>0</v>
      </c>
      <c r="F52" s="33">
        <f t="shared" ref="F52:N52" si="9">IF(F48&gt;0,F48,0)</f>
        <v>0</v>
      </c>
      <c r="G52" s="60">
        <f t="shared" si="9"/>
        <v>0</v>
      </c>
      <c r="H52" s="60">
        <f t="shared" si="9"/>
        <v>0</v>
      </c>
      <c r="I52" s="60">
        <f t="shared" si="9"/>
        <v>85013</v>
      </c>
      <c r="J52" s="60">
        <f t="shared" si="9"/>
        <v>73995</v>
      </c>
      <c r="K52" s="60">
        <f t="shared" si="9"/>
        <v>64009.5</v>
      </c>
      <c r="L52" s="60">
        <f t="shared" si="9"/>
        <v>55732.5</v>
      </c>
      <c r="M52" s="60">
        <f t="shared" si="9"/>
        <v>43478.5</v>
      </c>
      <c r="N52" s="60">
        <f t="shared" si="9"/>
        <v>29505.5</v>
      </c>
    </row>
    <row r="53" spans="2:14" x14ac:dyDescent="0.25">
      <c r="B53" s="33" t="s">
        <v>92</v>
      </c>
      <c r="C53" s="33"/>
      <c r="D53" s="33"/>
      <c r="E53" s="33">
        <v>0</v>
      </c>
      <c r="F53" s="33">
        <f t="shared" ref="F53:N53" si="10">IF(F48&lt;0,-F48,0)</f>
        <v>9177.5</v>
      </c>
      <c r="G53" s="60">
        <f t="shared" si="10"/>
        <v>19437</v>
      </c>
      <c r="H53" s="60">
        <f t="shared" si="10"/>
        <v>31119</v>
      </c>
      <c r="I53" s="60">
        <f t="shared" si="10"/>
        <v>0</v>
      </c>
      <c r="J53" s="60">
        <f t="shared" si="10"/>
        <v>0</v>
      </c>
      <c r="K53" s="60">
        <f t="shared" si="10"/>
        <v>0</v>
      </c>
      <c r="L53" s="60">
        <f t="shared" si="10"/>
        <v>0</v>
      </c>
      <c r="M53" s="60">
        <f t="shared" si="10"/>
        <v>0</v>
      </c>
      <c r="N53" s="60">
        <f t="shared" si="10"/>
        <v>0</v>
      </c>
    </row>
    <row r="54" spans="2:14" ht="5.45" customHeight="1" thickBot="1" x14ac:dyDescent="0.3">
      <c r="B54" s="32"/>
      <c r="C54" s="32"/>
      <c r="D54" s="32"/>
      <c r="E54" s="32"/>
      <c r="F54" s="32"/>
      <c r="G54" s="32"/>
      <c r="H54" s="32"/>
      <c r="I54" s="32"/>
      <c r="J54" s="32"/>
      <c r="K54" s="32"/>
      <c r="L54" s="32"/>
      <c r="M54" s="32"/>
      <c r="N54" s="32"/>
    </row>
    <row r="55" spans="2:14" ht="5.45" customHeight="1" thickBot="1" x14ac:dyDescent="0.3">
      <c r="B55" s="32"/>
      <c r="C55" s="32"/>
      <c r="D55" s="32"/>
      <c r="E55" s="32"/>
      <c r="F55" s="32"/>
      <c r="G55" s="32"/>
      <c r="H55" s="32"/>
      <c r="I55" s="32"/>
      <c r="J55" s="32"/>
      <c r="K55" s="32"/>
      <c r="L55" s="32"/>
      <c r="M55" s="32"/>
      <c r="N55" s="32"/>
    </row>
  </sheetData>
  <scenarios current="2" sqref="F43:N43">
    <scenario name="Goo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
      <inputCells r="F22" val="0.7" numFmtId="9"/>
      <inputCells r="F23" val="0.15" numFmtId="9"/>
      <inputCells r="F24" val="0.15" numFmtId="9"/>
    </scenario>
    <scenario name="Normal" locked="1" count="3" user="Hawley, Del" comment="Created by Del on 9/22/2011_x000a_Modified by Del on 6/9/2012_x000a_Modified by D Hawley on 9/22/2013_x000a_Modified by Del on 6/9/2014_x000a_Modified by Del Hawley on 2/16/2015_x000a_Modified by Del Hawley on 6/12/2016_x000a_Modified by Hawley, Del on 7/2/2018">
      <inputCells r="F22" val="0.6" numFmtId="9"/>
      <inputCells r="F23" val="0.1" numFmtId="9"/>
      <inputCells r="F24" val="0.3" numFmtId="9"/>
    </scenario>
    <scenario name="Bad" locked="1" count="3" user="Hawley, Del" comment="Created by Del on 9/22/2011_x000a_Modified by D Hawley on 9/22/2013_x000a_Modified by Del on 6/9/2014_x000a_Modified by Del Hawley on 2/16/2015_x000a_Modified by Del Hawley on 6/12/2016_x000a_Modified by Del Hawley on 2/19/2018_x000a_Modified by Hawley, Del on 7/2/2018">
      <inputCells r="F22" val="0.5" numFmtId="9"/>
      <inputCells r="F23" val="0.1" numFmtId="9"/>
      <inputCells r="F24" val="0.4" numFmtId="9"/>
    </scenario>
  </scenarios>
  <mergeCells count="3">
    <mergeCell ref="B20:N20"/>
    <mergeCell ref="B40:N40"/>
    <mergeCell ref="B50:N50"/>
  </mergeCells>
  <conditionalFormatting sqref="F43:N43">
    <cfRule type="cellIs" dxfId="0" priority="1" operator="lessThan">
      <formula>0</formula>
    </cfRule>
  </conditionalFormatting>
  <dataValidations count="1">
    <dataValidation type="list" allowBlank="1" showInputMessage="1" showErrorMessage="1" sqref="L24" xr:uid="{00000000-0002-0000-0200-000000000000}">
      <formula1>$T$23:$T$26</formula1>
    </dataValidation>
  </dataValidations>
  <pageMargins left="0.7" right="0.7" top="0.75" bottom="0.75" header="0.3" footer="0.3"/>
  <pageSetup scale="8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9E8F1-7254-4445-82D7-ED4F0817EC9C}">
  <sheetPr>
    <outlinePr summaryBelow="0"/>
  </sheetPr>
  <dimension ref="B1:G21"/>
  <sheetViews>
    <sheetView showGridLines="0" workbookViewId="0">
      <selection activeCell="E30" sqref="E30"/>
    </sheetView>
  </sheetViews>
  <sheetFormatPr defaultRowHeight="15" outlineLevelRow="1" outlineLevelCol="1" x14ac:dyDescent="0.25"/>
  <cols>
    <col min="3" max="3" width="8.140625" bestFit="1" customWidth="1"/>
    <col min="4" max="7" width="13.140625" bestFit="1" customWidth="1" outlineLevel="1"/>
  </cols>
  <sheetData>
    <row r="1" spans="2:7" ht="15.75" thickBot="1" x14ac:dyDescent="0.3"/>
    <row r="2" spans="2:7" ht="15.75" x14ac:dyDescent="0.25">
      <c r="B2" s="208" t="s">
        <v>153</v>
      </c>
      <c r="C2" s="208"/>
      <c r="D2" s="70"/>
      <c r="E2" s="70"/>
      <c r="F2" s="70"/>
      <c r="G2" s="70"/>
    </row>
    <row r="3" spans="2:7" ht="15.75" collapsed="1" x14ac:dyDescent="0.25">
      <c r="B3" s="207"/>
      <c r="C3" s="207"/>
      <c r="D3" s="71" t="s">
        <v>155</v>
      </c>
      <c r="E3" s="71" t="s">
        <v>150</v>
      </c>
      <c r="F3" s="71" t="s">
        <v>151</v>
      </c>
      <c r="G3" s="71" t="s">
        <v>152</v>
      </c>
    </row>
    <row r="4" spans="2:7" ht="213.75" hidden="1" outlineLevel="1" x14ac:dyDescent="0.25">
      <c r="B4" s="209"/>
      <c r="C4" s="209"/>
      <c r="D4" s="65"/>
      <c r="E4" s="73" t="s">
        <v>236</v>
      </c>
      <c r="F4" s="73" t="s">
        <v>237</v>
      </c>
      <c r="G4" s="73" t="s">
        <v>236</v>
      </c>
    </row>
    <row r="5" spans="2:7" x14ac:dyDescent="0.25">
      <c r="B5" s="210" t="s">
        <v>154</v>
      </c>
      <c r="C5" s="210"/>
      <c r="D5" s="69"/>
      <c r="E5" s="69"/>
      <c r="F5" s="69"/>
      <c r="G5" s="69"/>
    </row>
    <row r="6" spans="2:7" outlineLevel="1" x14ac:dyDescent="0.25">
      <c r="B6" s="209"/>
      <c r="C6" s="209" t="s">
        <v>138</v>
      </c>
      <c r="D6" s="66">
        <v>0.6</v>
      </c>
      <c r="E6" s="72">
        <v>0.7</v>
      </c>
      <c r="F6" s="72">
        <v>0.6</v>
      </c>
      <c r="G6" s="72">
        <v>0.5</v>
      </c>
    </row>
    <row r="7" spans="2:7" outlineLevel="1" x14ac:dyDescent="0.25">
      <c r="B7" s="209"/>
      <c r="C7" s="209" t="s">
        <v>139</v>
      </c>
      <c r="D7" s="66">
        <v>0.1</v>
      </c>
      <c r="E7" s="72">
        <v>0.15</v>
      </c>
      <c r="F7" s="72">
        <v>0.1</v>
      </c>
      <c r="G7" s="72">
        <v>0.1</v>
      </c>
    </row>
    <row r="8" spans="2:7" outlineLevel="1" x14ac:dyDescent="0.25">
      <c r="B8" s="209"/>
      <c r="C8" s="209" t="s">
        <v>140</v>
      </c>
      <c r="D8" s="66">
        <v>0.3</v>
      </c>
      <c r="E8" s="72">
        <v>0.15</v>
      </c>
      <c r="F8" s="72">
        <v>0.3</v>
      </c>
      <c r="G8" s="72">
        <v>0.4</v>
      </c>
    </row>
    <row r="9" spans="2:7" x14ac:dyDescent="0.25">
      <c r="B9" s="210" t="s">
        <v>156</v>
      </c>
      <c r="C9" s="210"/>
      <c r="D9" s="69"/>
      <c r="E9" s="69"/>
      <c r="F9" s="69"/>
      <c r="G9" s="69"/>
    </row>
    <row r="10" spans="2:7" outlineLevel="1" x14ac:dyDescent="0.25">
      <c r="B10" s="209"/>
      <c r="C10" s="209" t="s">
        <v>141</v>
      </c>
      <c r="D10" s="67">
        <v>6677.5</v>
      </c>
      <c r="E10" s="67">
        <v>7142.25</v>
      </c>
      <c r="F10" s="67">
        <v>6677.5</v>
      </c>
      <c r="G10" s="67">
        <v>6290.5</v>
      </c>
    </row>
    <row r="11" spans="2:7" outlineLevel="1" x14ac:dyDescent="0.25">
      <c r="B11" s="209"/>
      <c r="C11" s="209" t="s">
        <v>142</v>
      </c>
      <c r="D11" s="67">
        <v>10259.5</v>
      </c>
      <c r="E11" s="67">
        <v>10830.75</v>
      </c>
      <c r="F11" s="67">
        <v>10259.5</v>
      </c>
      <c r="G11" s="67">
        <v>9804</v>
      </c>
    </row>
    <row r="12" spans="2:7" outlineLevel="1" x14ac:dyDescent="0.25">
      <c r="B12" s="209"/>
      <c r="C12" s="209" t="s">
        <v>143</v>
      </c>
      <c r="D12" s="67">
        <v>11682</v>
      </c>
      <c r="E12" s="67">
        <v>12162</v>
      </c>
      <c r="F12" s="67">
        <v>11682</v>
      </c>
      <c r="G12" s="67">
        <v>11314</v>
      </c>
    </row>
    <row r="13" spans="2:7" outlineLevel="1" x14ac:dyDescent="0.25">
      <c r="B13" s="209"/>
      <c r="C13" s="209" t="s">
        <v>144</v>
      </c>
      <c r="D13" s="67">
        <v>-116132</v>
      </c>
      <c r="E13" s="67">
        <v>-116316</v>
      </c>
      <c r="F13" s="67">
        <v>-116132</v>
      </c>
      <c r="G13" s="67">
        <v>-115876</v>
      </c>
    </row>
    <row r="14" spans="2:7" outlineLevel="1" x14ac:dyDescent="0.25">
      <c r="B14" s="209"/>
      <c r="C14" s="209" t="s">
        <v>145</v>
      </c>
      <c r="D14" s="67">
        <v>11018</v>
      </c>
      <c r="E14" s="67">
        <v>10386</v>
      </c>
      <c r="F14" s="67">
        <v>11018</v>
      </c>
      <c r="G14" s="67">
        <v>11450</v>
      </c>
    </row>
    <row r="15" spans="2:7" outlineLevel="1" x14ac:dyDescent="0.25">
      <c r="B15" s="209"/>
      <c r="C15" s="209" t="s">
        <v>146</v>
      </c>
      <c r="D15" s="67">
        <v>9985.5</v>
      </c>
      <c r="E15" s="67">
        <v>9994.5</v>
      </c>
      <c r="F15" s="67">
        <v>9985.5</v>
      </c>
      <c r="G15" s="67">
        <v>9960.5</v>
      </c>
    </row>
    <row r="16" spans="2:7" outlineLevel="1" x14ac:dyDescent="0.25">
      <c r="B16" s="209"/>
      <c r="C16" s="209" t="s">
        <v>147</v>
      </c>
      <c r="D16" s="67">
        <v>8277</v>
      </c>
      <c r="E16" s="67">
        <v>8535.5</v>
      </c>
      <c r="F16" s="67">
        <v>8277</v>
      </c>
      <c r="G16" s="67">
        <v>8047</v>
      </c>
    </row>
    <row r="17" spans="2:7" outlineLevel="1" x14ac:dyDescent="0.25">
      <c r="B17" s="209"/>
      <c r="C17" s="209" t="s">
        <v>148</v>
      </c>
      <c r="D17" s="67">
        <v>12254</v>
      </c>
      <c r="E17" s="67">
        <v>12901.5</v>
      </c>
      <c r="F17" s="67">
        <v>12254</v>
      </c>
      <c r="G17" s="67">
        <v>11693</v>
      </c>
    </row>
    <row r="18" spans="2:7" ht="15.75" outlineLevel="1" thickBot="1" x14ac:dyDescent="0.3">
      <c r="B18" s="211"/>
      <c r="C18" s="211" t="s">
        <v>149</v>
      </c>
      <c r="D18" s="68">
        <v>13973</v>
      </c>
      <c r="E18" s="68">
        <v>14787</v>
      </c>
      <c r="F18" s="68">
        <v>13973</v>
      </c>
      <c r="G18" s="68">
        <v>13353</v>
      </c>
    </row>
    <row r="19" spans="2:7" x14ac:dyDescent="0.25">
      <c r="B19" t="s">
        <v>157</v>
      </c>
    </row>
    <row r="20" spans="2:7" x14ac:dyDescent="0.25">
      <c r="B20" t="s">
        <v>158</v>
      </c>
    </row>
    <row r="21" spans="2:7" x14ac:dyDescent="0.25">
      <c r="B21" t="s">
        <v>159</v>
      </c>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J5:S7"/>
  <sheetViews>
    <sheetView workbookViewId="0">
      <selection activeCell="M29" sqref="M29"/>
    </sheetView>
  </sheetViews>
  <sheetFormatPr defaultRowHeight="15" x14ac:dyDescent="0.25"/>
  <cols>
    <col min="10" max="10" width="17.28515625" customWidth="1"/>
  </cols>
  <sheetData>
    <row r="5" spans="10:19" x14ac:dyDescent="0.25">
      <c r="K5" t="s">
        <v>160</v>
      </c>
      <c r="L5" t="s">
        <v>161</v>
      </c>
      <c r="M5" s="62" t="s">
        <v>162</v>
      </c>
      <c r="N5" s="62" t="s">
        <v>163</v>
      </c>
      <c r="O5" s="62" t="s">
        <v>164</v>
      </c>
      <c r="P5" s="62" t="s">
        <v>165</v>
      </c>
      <c r="Q5" s="62" t="s">
        <v>166</v>
      </c>
      <c r="R5" s="62" t="s">
        <v>167</v>
      </c>
      <c r="S5" s="62" t="s">
        <v>168</v>
      </c>
    </row>
    <row r="6" spans="10:19" x14ac:dyDescent="0.25">
      <c r="J6" t="s">
        <v>170</v>
      </c>
      <c r="K6" s="60">
        <f>-'Prob 2 - 25 Pts '!F52</f>
        <v>0</v>
      </c>
      <c r="L6" s="60">
        <f>-'Prob 2 - 25 Pts '!G52</f>
        <v>0</v>
      </c>
      <c r="M6" s="60">
        <f>-'Prob 2 - 25 Pts '!H52</f>
        <v>0</v>
      </c>
      <c r="N6" s="60">
        <f>-'Prob 2 - 25 Pts '!I52</f>
        <v>-85013</v>
      </c>
      <c r="O6" s="60">
        <f>-'Prob 2 - 25 Pts '!J52</f>
        <v>-73995</v>
      </c>
      <c r="P6" s="60">
        <f>-'Prob 2 - 25 Pts '!K52</f>
        <v>-64009.5</v>
      </c>
      <c r="Q6" s="60">
        <f>-'Prob 2 - 25 Pts '!L52</f>
        <v>-55732.5</v>
      </c>
      <c r="R6" s="60">
        <f>-'Prob 2 - 25 Pts '!M52</f>
        <v>-43478.5</v>
      </c>
      <c r="S6" s="60">
        <f>-'Prob 2 - 25 Pts '!N52</f>
        <v>-29505.5</v>
      </c>
    </row>
    <row r="7" spans="10:19" x14ac:dyDescent="0.25">
      <c r="J7" t="s">
        <v>169</v>
      </c>
      <c r="K7" s="60">
        <f>'Prob 2 - 25 Pts '!F53</f>
        <v>9177.5</v>
      </c>
      <c r="L7" s="60">
        <f>'Prob 2 - 25 Pts '!G53</f>
        <v>19437</v>
      </c>
      <c r="M7" s="60">
        <f>'Prob 2 - 25 Pts '!H53</f>
        <v>31119</v>
      </c>
      <c r="N7" s="60">
        <f>'Prob 2 - 25 Pts '!I53</f>
        <v>0</v>
      </c>
      <c r="O7" s="60">
        <f>'Prob 2 - 25 Pts '!J53</f>
        <v>0</v>
      </c>
      <c r="P7" s="60">
        <f>'Prob 2 - 25 Pts '!K53</f>
        <v>0</v>
      </c>
      <c r="Q7" s="60">
        <f>'Prob 2 - 25 Pts '!L53</f>
        <v>0</v>
      </c>
      <c r="R7" s="60">
        <f>'Prob 2 - 25 Pts '!M53</f>
        <v>0</v>
      </c>
      <c r="S7" s="60">
        <f>'Prob 2 - 25 Pts '!N53</f>
        <v>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E31"/>
  <sheetViews>
    <sheetView workbookViewId="0">
      <selection activeCell="I18" sqref="I18"/>
    </sheetView>
  </sheetViews>
  <sheetFormatPr defaultColWidth="9.140625" defaultRowHeight="15" x14ac:dyDescent="0.25"/>
  <cols>
    <col min="1" max="1" width="9.140625" style="10"/>
    <col min="2" max="3" width="11.5703125" style="10" customWidth="1"/>
    <col min="4" max="4" width="13.7109375" style="10" customWidth="1"/>
    <col min="5" max="5" width="14.28515625" style="10" customWidth="1"/>
    <col min="6" max="16384" width="9.140625" style="10"/>
  </cols>
  <sheetData>
    <row r="3" spans="2:5" ht="86.25" customHeight="1" x14ac:dyDescent="0.25"/>
    <row r="5" spans="2:5" ht="15.75" thickBot="1" x14ac:dyDescent="0.3"/>
    <row r="6" spans="2:5" ht="52.5" customHeight="1" thickBot="1" x14ac:dyDescent="0.3">
      <c r="B6" s="115" t="s">
        <v>178</v>
      </c>
      <c r="C6" s="116" t="s">
        <v>184</v>
      </c>
      <c r="D6" s="116" t="s">
        <v>179</v>
      </c>
      <c r="E6" s="117" t="s">
        <v>180</v>
      </c>
    </row>
    <row r="7" spans="2:5" x14ac:dyDescent="0.25">
      <c r="B7" s="112">
        <v>2000</v>
      </c>
      <c r="C7" s="113">
        <v>9.44</v>
      </c>
      <c r="D7" s="114"/>
      <c r="E7" s="114"/>
    </row>
    <row r="8" spans="2:5" x14ac:dyDescent="0.25">
      <c r="B8" s="108">
        <v>2001</v>
      </c>
      <c r="C8" s="106">
        <v>9.85</v>
      </c>
      <c r="D8" s="107">
        <f>C8/C7-1</f>
        <v>4.3432203389830448E-2</v>
      </c>
      <c r="E8" s="109">
        <f>1+D8</f>
        <v>1.0434322033898304</v>
      </c>
    </row>
    <row r="9" spans="2:5" x14ac:dyDescent="0.25">
      <c r="B9" s="108">
        <v>2002</v>
      </c>
      <c r="C9" s="106">
        <v>10.25</v>
      </c>
      <c r="D9" s="107">
        <f t="shared" ref="D9:D19" si="0">C9/C8-1</f>
        <v>4.0609137055837685E-2</v>
      </c>
      <c r="E9" s="109">
        <f t="shared" ref="E9:E19" si="1">1+D9</f>
        <v>1.0406091370558377</v>
      </c>
    </row>
    <row r="10" spans="2:5" x14ac:dyDescent="0.25">
      <c r="B10" s="108">
        <v>2003</v>
      </c>
      <c r="C10" s="106">
        <v>11.75</v>
      </c>
      <c r="D10" s="107">
        <f t="shared" si="0"/>
        <v>0.14634146341463405</v>
      </c>
      <c r="E10" s="109">
        <f t="shared" si="1"/>
        <v>1.1463414634146341</v>
      </c>
    </row>
    <row r="11" spans="2:5" x14ac:dyDescent="0.25">
      <c r="B11" s="108">
        <v>2004</v>
      </c>
      <c r="C11" s="106">
        <v>9.65</v>
      </c>
      <c r="D11" s="107">
        <f t="shared" si="0"/>
        <v>-0.17872340425531907</v>
      </c>
      <c r="E11" s="109">
        <f t="shared" si="1"/>
        <v>0.82127659574468093</v>
      </c>
    </row>
    <row r="12" spans="2:5" x14ac:dyDescent="0.25">
      <c r="B12" s="108">
        <v>2005</v>
      </c>
      <c r="C12" s="106">
        <v>10.25</v>
      </c>
      <c r="D12" s="107">
        <f t="shared" si="0"/>
        <v>6.2176165803108807E-2</v>
      </c>
      <c r="E12" s="109">
        <f t="shared" si="1"/>
        <v>1.0621761658031088</v>
      </c>
    </row>
    <row r="13" spans="2:5" x14ac:dyDescent="0.25">
      <c r="B13" s="108">
        <v>2006</v>
      </c>
      <c r="C13" s="106">
        <v>11</v>
      </c>
      <c r="D13" s="107">
        <f t="shared" si="0"/>
        <v>7.3170731707317138E-2</v>
      </c>
      <c r="E13" s="109">
        <f t="shared" si="1"/>
        <v>1.0731707317073171</v>
      </c>
    </row>
    <row r="14" spans="2:5" x14ac:dyDescent="0.25">
      <c r="B14" s="108">
        <v>2007</v>
      </c>
      <c r="C14" s="106">
        <v>12.2</v>
      </c>
      <c r="D14" s="107">
        <f t="shared" si="0"/>
        <v>0.10909090909090913</v>
      </c>
      <c r="E14" s="109">
        <f t="shared" si="1"/>
        <v>1.1090909090909091</v>
      </c>
    </row>
    <row r="15" spans="2:5" x14ac:dyDescent="0.25">
      <c r="B15" s="108">
        <v>2008</v>
      </c>
      <c r="C15" s="106">
        <v>12.95</v>
      </c>
      <c r="D15" s="107">
        <f t="shared" si="0"/>
        <v>6.1475409836065475E-2</v>
      </c>
      <c r="E15" s="109">
        <f t="shared" si="1"/>
        <v>1.0614754098360655</v>
      </c>
    </row>
    <row r="16" spans="2:5" x14ac:dyDescent="0.25">
      <c r="B16" s="108">
        <v>2009</v>
      </c>
      <c r="C16" s="106">
        <v>6.5</v>
      </c>
      <c r="D16" s="107">
        <f t="shared" si="0"/>
        <v>-0.49806949806949807</v>
      </c>
      <c r="E16" s="109">
        <f t="shared" si="1"/>
        <v>0.50193050193050193</v>
      </c>
    </row>
    <row r="17" spans="2:5" x14ac:dyDescent="0.25">
      <c r="B17" s="108">
        <v>2010</v>
      </c>
      <c r="C17" s="106">
        <v>6.9</v>
      </c>
      <c r="D17" s="107">
        <f t="shared" si="0"/>
        <v>6.1538461538461542E-2</v>
      </c>
      <c r="E17" s="109">
        <f t="shared" si="1"/>
        <v>1.0615384615384615</v>
      </c>
    </row>
    <row r="18" spans="2:5" x14ac:dyDescent="0.25">
      <c r="B18" s="108">
        <v>2011</v>
      </c>
      <c r="C18" s="106">
        <v>7.85</v>
      </c>
      <c r="D18" s="107">
        <f t="shared" si="0"/>
        <v>0.1376811594202898</v>
      </c>
      <c r="E18" s="109">
        <f t="shared" si="1"/>
        <v>1.1376811594202898</v>
      </c>
    </row>
    <row r="19" spans="2:5" x14ac:dyDescent="0.25">
      <c r="B19" s="108">
        <v>2012</v>
      </c>
      <c r="C19" s="106">
        <v>8.6199999999999992</v>
      </c>
      <c r="D19" s="107">
        <f t="shared" si="0"/>
        <v>9.8089171974522271E-2</v>
      </c>
      <c r="E19" s="109">
        <f t="shared" si="1"/>
        <v>1.0980891719745223</v>
      </c>
    </row>
    <row r="20" spans="2:5" s="165" customFormat="1" x14ac:dyDescent="0.25">
      <c r="B20" s="172">
        <v>2013</v>
      </c>
      <c r="C20" s="173">
        <v>9.77</v>
      </c>
      <c r="D20" s="107">
        <f t="shared" ref="D20" si="2">C20/C19-1</f>
        <v>0.13341067285382846</v>
      </c>
      <c r="E20" s="109">
        <f t="shared" ref="E20" si="3">1+D20</f>
        <v>1.1334106728538285</v>
      </c>
    </row>
    <row r="21" spans="2:5" s="165" customFormat="1" x14ac:dyDescent="0.25">
      <c r="B21" s="172">
        <v>2014</v>
      </c>
      <c r="C21" s="173">
        <v>10.9</v>
      </c>
      <c r="D21" s="107">
        <f t="shared" ref="D21" si="4">C21/C20-1</f>
        <v>0.11566018423746161</v>
      </c>
      <c r="E21" s="109">
        <f t="shared" ref="E21" si="5">1+D21</f>
        <v>1.1156601842374616</v>
      </c>
    </row>
    <row r="22" spans="2:5" s="165" customFormat="1" x14ac:dyDescent="0.25">
      <c r="B22" s="172">
        <v>2015</v>
      </c>
      <c r="C22" s="173">
        <v>11.85</v>
      </c>
      <c r="D22" s="107">
        <f t="shared" ref="D22" si="6">C22/C21-1</f>
        <v>8.7155963302752326E-2</v>
      </c>
      <c r="E22" s="109">
        <f t="shared" ref="E22:E24" si="7">1+D22</f>
        <v>1.0871559633027523</v>
      </c>
    </row>
    <row r="23" spans="2:5" s="165" customFormat="1" x14ac:dyDescent="0.25">
      <c r="B23" s="172">
        <v>2016</v>
      </c>
      <c r="C23" s="173">
        <v>12.65</v>
      </c>
      <c r="D23" s="107">
        <f t="shared" ref="D23" si="8">C23/C22-1</f>
        <v>6.7510548523206815E-2</v>
      </c>
      <c r="E23" s="109">
        <f t="shared" ref="E23" si="9">1+D23</f>
        <v>1.0675105485232068</v>
      </c>
    </row>
    <row r="24" spans="2:5" ht="15.75" thickBot="1" x14ac:dyDescent="0.3">
      <c r="B24" s="110">
        <v>2017</v>
      </c>
      <c r="C24" s="111">
        <v>14.25</v>
      </c>
      <c r="D24" s="107">
        <f>C24/C23-1</f>
        <v>0.12648221343873511</v>
      </c>
      <c r="E24" s="109">
        <f t="shared" si="7"/>
        <v>1.1264822134387351</v>
      </c>
    </row>
    <row r="25" spans="2:5" ht="8.25" customHeight="1" x14ac:dyDescent="0.25">
      <c r="B25" s="118"/>
      <c r="C25" s="119"/>
      <c r="D25" s="119"/>
      <c r="E25" s="120"/>
    </row>
    <row r="26" spans="2:5" x14ac:dyDescent="0.25">
      <c r="B26" s="127" t="s">
        <v>181</v>
      </c>
      <c r="C26" s="121"/>
      <c r="D26" s="121"/>
      <c r="E26" s="122"/>
    </row>
    <row r="27" spans="2:5" ht="3.75" customHeight="1" thickBot="1" x14ac:dyDescent="0.3">
      <c r="B27" s="123"/>
      <c r="C27" s="195"/>
      <c r="D27" s="195"/>
      <c r="E27" s="122"/>
    </row>
    <row r="28" spans="2:5" ht="15.75" thickBot="1" x14ac:dyDescent="0.3">
      <c r="B28" s="123"/>
      <c r="C28" s="128">
        <f>GEOMEAN(E8:E24)-1</f>
        <v>2.4519358334053054E-2</v>
      </c>
      <c r="D28" s="121" t="s">
        <v>182</v>
      </c>
      <c r="E28" s="122"/>
    </row>
    <row r="29" spans="2:5" ht="6.75" customHeight="1" thickBot="1" x14ac:dyDescent="0.3">
      <c r="B29" s="123"/>
      <c r="C29" s="129"/>
      <c r="D29" s="121"/>
      <c r="E29" s="122"/>
    </row>
    <row r="30" spans="2:5" ht="15.75" thickBot="1" x14ac:dyDescent="0.3">
      <c r="B30" s="123"/>
      <c r="C30" s="128">
        <f>(PRODUCT(E8:E24)^(1/17))-1</f>
        <v>2.4519358334053054E-2</v>
      </c>
      <c r="D30" s="121" t="s">
        <v>183</v>
      </c>
      <c r="E30" s="122"/>
    </row>
    <row r="31" spans="2:5" ht="6.75" customHeight="1" thickBot="1" x14ac:dyDescent="0.3">
      <c r="B31" s="124"/>
      <c r="C31" s="125"/>
      <c r="D31" s="125"/>
      <c r="E31" s="126"/>
    </row>
  </sheetData>
  <mergeCells count="1">
    <mergeCell ref="C27:D2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G27"/>
  <sheetViews>
    <sheetView zoomScaleNormal="100" workbookViewId="0">
      <selection activeCell="I1" sqref="I1"/>
    </sheetView>
  </sheetViews>
  <sheetFormatPr defaultColWidth="9.140625" defaultRowHeight="15" x14ac:dyDescent="0.25"/>
  <cols>
    <col min="1" max="1" width="4.5703125" style="130" customWidth="1"/>
    <col min="2" max="2" width="35.7109375" style="130" customWidth="1"/>
    <col min="3" max="4" width="18.7109375" style="130" customWidth="1"/>
    <col min="5" max="16384" width="9.140625" style="130"/>
  </cols>
  <sheetData>
    <row r="1" spans="2:4" ht="48" customHeight="1" x14ac:dyDescent="0.25"/>
    <row r="10" spans="2:4" ht="15.75" thickBot="1" x14ac:dyDescent="0.3"/>
    <row r="11" spans="2:4" s="131" customFormat="1" ht="30" customHeight="1" x14ac:dyDescent="0.25">
      <c r="B11" s="196" t="s">
        <v>171</v>
      </c>
      <c r="C11" s="197"/>
      <c r="D11" s="198"/>
    </row>
    <row r="12" spans="2:4" s="131" customFormat="1" ht="30" customHeight="1" x14ac:dyDescent="0.25">
      <c r="B12" s="199" t="s">
        <v>172</v>
      </c>
      <c r="C12" s="200"/>
      <c r="D12" s="201"/>
    </row>
    <row r="13" spans="2:4" s="131" customFormat="1" ht="30" customHeight="1" thickBot="1" x14ac:dyDescent="0.3">
      <c r="B13" s="202" t="s">
        <v>232</v>
      </c>
      <c r="C13" s="203"/>
      <c r="D13" s="204"/>
    </row>
    <row r="14" spans="2:4" ht="50.1" customHeight="1" thickBot="1" x14ac:dyDescent="0.35">
      <c r="B14" s="132"/>
      <c r="C14" s="156" t="s">
        <v>233</v>
      </c>
      <c r="D14" s="157" t="s">
        <v>223</v>
      </c>
    </row>
    <row r="15" spans="2:4" ht="17.25" customHeight="1" x14ac:dyDescent="0.25">
      <c r="B15" s="133" t="s">
        <v>12</v>
      </c>
      <c r="C15" s="143">
        <v>3850000</v>
      </c>
      <c r="D15" s="134">
        <v>3432000</v>
      </c>
    </row>
    <row r="16" spans="2:4" ht="17.25" x14ac:dyDescent="0.4">
      <c r="B16" s="135" t="s">
        <v>173</v>
      </c>
      <c r="C16" s="76">
        <v>3250000</v>
      </c>
      <c r="D16" s="77">
        <v>2864000</v>
      </c>
    </row>
    <row r="17" spans="2:7" x14ac:dyDescent="0.25">
      <c r="B17" s="136" t="s">
        <v>14</v>
      </c>
      <c r="C17" s="144">
        <v>600000</v>
      </c>
      <c r="D17" s="137">
        <v>568000</v>
      </c>
    </row>
    <row r="18" spans="2:7" x14ac:dyDescent="0.25">
      <c r="B18" s="138" t="s">
        <v>2</v>
      </c>
      <c r="C18" s="75">
        <v>330300</v>
      </c>
      <c r="D18" s="74">
        <v>240000</v>
      </c>
    </row>
    <row r="19" spans="2:7" x14ac:dyDescent="0.25">
      <c r="B19" s="138" t="s">
        <v>3</v>
      </c>
      <c r="C19" s="75">
        <v>100000</v>
      </c>
      <c r="D19" s="74">
        <v>100000</v>
      </c>
    </row>
    <row r="20" spans="2:7" ht="19.5" customHeight="1" x14ac:dyDescent="0.4">
      <c r="B20" s="135" t="s">
        <v>46</v>
      </c>
      <c r="C20" s="76">
        <v>20000</v>
      </c>
      <c r="D20" s="77">
        <v>18900</v>
      </c>
    </row>
    <row r="21" spans="2:7" x14ac:dyDescent="0.25">
      <c r="B21" s="136" t="s">
        <v>15</v>
      </c>
      <c r="C21" s="144">
        <v>149700</v>
      </c>
      <c r="D21" s="137">
        <v>209100</v>
      </c>
    </row>
    <row r="22" spans="2:7" ht="17.25" x14ac:dyDescent="0.4">
      <c r="B22" s="135" t="s">
        <v>5</v>
      </c>
      <c r="C22" s="76">
        <v>76000</v>
      </c>
      <c r="D22" s="77">
        <v>62500</v>
      </c>
    </row>
    <row r="23" spans="2:7" x14ac:dyDescent="0.25">
      <c r="B23" s="136" t="s">
        <v>16</v>
      </c>
      <c r="C23" s="144">
        <v>73700</v>
      </c>
      <c r="D23" s="137">
        <v>146600</v>
      </c>
      <c r="F23" s="60"/>
      <c r="G23" s="60"/>
    </row>
    <row r="24" spans="2:7" ht="17.25" x14ac:dyDescent="0.4">
      <c r="B24" s="135" t="s">
        <v>17</v>
      </c>
      <c r="C24" s="76">
        <v>29480</v>
      </c>
      <c r="D24" s="77">
        <v>58640</v>
      </c>
    </row>
    <row r="25" spans="2:7" ht="17.25" x14ac:dyDescent="0.4">
      <c r="B25" s="139" t="s">
        <v>18</v>
      </c>
      <c r="C25" s="145">
        <v>44220</v>
      </c>
      <c r="D25" s="140">
        <v>87960</v>
      </c>
    </row>
    <row r="26" spans="2:7" ht="6" customHeight="1" thickBot="1" x14ac:dyDescent="0.3">
      <c r="B26" s="141"/>
      <c r="C26" s="146"/>
      <c r="D26" s="142"/>
    </row>
    <row r="27" spans="2:7" ht="30" customHeight="1" thickBot="1" x14ac:dyDescent="0.3">
      <c r="B27" s="149" t="s">
        <v>185</v>
      </c>
      <c r="C27" s="147">
        <f>C17/C15</f>
        <v>0.15584415584415584</v>
      </c>
      <c r="D27" s="148">
        <f>D17/D15</f>
        <v>0.1655011655011655</v>
      </c>
    </row>
  </sheetData>
  <mergeCells count="3">
    <mergeCell ref="B11:D11"/>
    <mergeCell ref="B12:D12"/>
    <mergeCell ref="B13:D1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67"/>
  <sheetViews>
    <sheetView showGridLines="0" topLeftCell="A40" zoomScale="115" zoomScaleNormal="115" workbookViewId="0">
      <selection activeCell="P63" sqref="P63"/>
    </sheetView>
  </sheetViews>
  <sheetFormatPr defaultRowHeight="15" x14ac:dyDescent="0.25"/>
  <cols>
    <col min="1" max="2" width="3.85546875" customWidth="1"/>
    <col min="3" max="3" width="10.42578125" customWidth="1"/>
    <col min="4" max="4" width="2.85546875" customWidth="1"/>
    <col min="5" max="5" width="2.7109375" customWidth="1"/>
    <col min="6" max="6" width="6" style="91" customWidth="1"/>
  </cols>
  <sheetData>
    <row r="1" spans="2:17" s="98" customFormat="1" x14ac:dyDescent="0.25">
      <c r="F1" s="91"/>
    </row>
    <row r="2" spans="2:17" s="98" customFormat="1" ht="139.5" customHeight="1" x14ac:dyDescent="0.25">
      <c r="F2" s="91"/>
    </row>
    <row r="3" spans="2:17" ht="15.75" thickBot="1" x14ac:dyDescent="0.3">
      <c r="B3" s="1"/>
      <c r="C3" s="151"/>
      <c r="D3" s="1"/>
      <c r="E3" s="1"/>
      <c r="F3" s="152"/>
      <c r="G3" s="1"/>
      <c r="H3" s="1"/>
      <c r="I3" s="1"/>
      <c r="J3" s="1"/>
      <c r="K3" s="1"/>
      <c r="L3" s="1"/>
      <c r="M3" s="1"/>
      <c r="N3" s="1"/>
      <c r="O3" s="1"/>
      <c r="P3" s="1"/>
      <c r="Q3" s="1"/>
    </row>
    <row r="4" spans="2:17" ht="103.15" customHeight="1" thickBot="1" x14ac:dyDescent="0.3">
      <c r="B4" s="153"/>
      <c r="C4" s="154" t="s">
        <v>123</v>
      </c>
      <c r="D4" s="205" t="s">
        <v>202</v>
      </c>
      <c r="E4" s="205"/>
      <c r="F4" s="205"/>
      <c r="G4" s="205"/>
      <c r="H4" s="205"/>
      <c r="I4" s="205"/>
      <c r="J4" s="205"/>
      <c r="K4" s="205"/>
      <c r="L4" s="205"/>
      <c r="M4" s="205"/>
      <c r="N4" s="205"/>
      <c r="O4" s="153"/>
      <c r="P4" s="153"/>
      <c r="Q4" s="153"/>
    </row>
    <row r="5" spans="2:17" ht="15.75" thickBot="1" x14ac:dyDescent="0.3">
      <c r="C5" s="92"/>
      <c r="D5" s="92"/>
    </row>
    <row r="6" spans="2:17" ht="15.75" thickBot="1" x14ac:dyDescent="0.3">
      <c r="C6" s="97" t="s">
        <v>206</v>
      </c>
      <c r="D6" s="94" t="s">
        <v>193</v>
      </c>
    </row>
    <row r="7" spans="2:17" ht="8.4499999999999993" customHeight="1" x14ac:dyDescent="0.25">
      <c r="C7" s="96"/>
      <c r="D7" s="94"/>
    </row>
    <row r="8" spans="2:17" s="98" customFormat="1" ht="14.25" customHeight="1" x14ac:dyDescent="0.25">
      <c r="C8" s="96"/>
      <c r="D8" s="93" t="s">
        <v>187</v>
      </c>
      <c r="F8" s="91"/>
    </row>
    <row r="9" spans="2:17" x14ac:dyDescent="0.25">
      <c r="C9" s="96"/>
      <c r="D9" s="93" t="s">
        <v>203</v>
      </c>
    </row>
    <row r="10" spans="2:17" x14ac:dyDescent="0.25">
      <c r="C10" s="96"/>
      <c r="D10" s="93" t="s">
        <v>204</v>
      </c>
    </row>
    <row r="11" spans="2:17" s="164" customFormat="1" x14ac:dyDescent="0.25">
      <c r="C11" s="96"/>
      <c r="D11" s="93" t="s">
        <v>205</v>
      </c>
      <c r="F11" s="171"/>
    </row>
    <row r="12" spans="2:17" x14ac:dyDescent="0.25">
      <c r="C12" s="96"/>
      <c r="D12" s="93" t="s">
        <v>122</v>
      </c>
    </row>
    <row r="13" spans="2:17" ht="15.75" thickBot="1" x14ac:dyDescent="0.3">
      <c r="C13" s="96"/>
      <c r="D13" s="92"/>
    </row>
    <row r="14" spans="2:17" ht="15.75" thickBot="1" x14ac:dyDescent="0.3">
      <c r="C14" s="97" t="s">
        <v>211</v>
      </c>
      <c r="D14" s="94" t="s">
        <v>207</v>
      </c>
    </row>
    <row r="15" spans="2:17" ht="9.6" customHeight="1" x14ac:dyDescent="0.25">
      <c r="C15" s="92"/>
      <c r="D15" s="94"/>
    </row>
    <row r="16" spans="2:17" x14ac:dyDescent="0.25">
      <c r="C16" s="92"/>
      <c r="D16" s="93" t="s">
        <v>208</v>
      </c>
    </row>
    <row r="17" spans="1:17" x14ac:dyDescent="0.25">
      <c r="C17" s="92"/>
      <c r="D17" s="93" t="s">
        <v>192</v>
      </c>
    </row>
    <row r="18" spans="1:17" x14ac:dyDescent="0.25">
      <c r="C18" s="92"/>
      <c r="D18" s="93" t="s">
        <v>194</v>
      </c>
    </row>
    <row r="19" spans="1:17" x14ac:dyDescent="0.25">
      <c r="C19" s="92"/>
      <c r="D19" s="93" t="s">
        <v>209</v>
      </c>
      <c r="E19" s="92"/>
    </row>
    <row r="20" spans="1:17" x14ac:dyDescent="0.25">
      <c r="C20" s="92"/>
      <c r="D20" s="93" t="s">
        <v>210</v>
      </c>
      <c r="E20" s="92"/>
    </row>
    <row r="21" spans="1:17" ht="15.75" thickBot="1" x14ac:dyDescent="0.3">
      <c r="C21" s="92"/>
      <c r="D21" s="93"/>
      <c r="E21" s="92"/>
    </row>
    <row r="22" spans="1:17" ht="15.75" thickBot="1" x14ac:dyDescent="0.3">
      <c r="C22" s="97" t="s">
        <v>195</v>
      </c>
      <c r="D22" s="174" t="s">
        <v>197</v>
      </c>
      <c r="E22" s="164"/>
      <c r="F22" s="171"/>
      <c r="G22" s="164"/>
    </row>
    <row r="23" spans="1:17" ht="9" customHeight="1" x14ac:dyDescent="0.25">
      <c r="C23" s="96"/>
      <c r="D23" s="169"/>
      <c r="E23" s="164"/>
      <c r="F23" s="171"/>
      <c r="G23" s="164"/>
    </row>
    <row r="24" spans="1:17" x14ac:dyDescent="0.25">
      <c r="C24" s="96"/>
      <c r="D24" s="168" t="s">
        <v>213</v>
      </c>
      <c r="E24" s="164"/>
      <c r="F24" s="171"/>
      <c r="G24" s="164"/>
    </row>
    <row r="25" spans="1:17" s="164" customFormat="1" x14ac:dyDescent="0.25">
      <c r="C25" s="96"/>
      <c r="D25" s="168" t="s">
        <v>212</v>
      </c>
      <c r="F25" s="171"/>
    </row>
    <row r="26" spans="1:17" x14ac:dyDescent="0.25">
      <c r="C26" s="96"/>
      <c r="D26" s="168" t="s">
        <v>188</v>
      </c>
      <c r="E26" s="164"/>
      <c r="F26" s="171"/>
      <c r="G26" s="164"/>
    </row>
    <row r="27" spans="1:17" x14ac:dyDescent="0.25">
      <c r="C27" s="96"/>
      <c r="D27" s="168" t="s">
        <v>196</v>
      </c>
      <c r="E27" s="164"/>
      <c r="F27" s="171"/>
      <c r="G27" s="164"/>
    </row>
    <row r="28" spans="1:17" x14ac:dyDescent="0.25">
      <c r="C28" s="96"/>
      <c r="D28" s="168" t="s">
        <v>124</v>
      </c>
      <c r="E28" s="164"/>
      <c r="F28" s="171"/>
      <c r="G28" s="164"/>
    </row>
    <row r="29" spans="1:17" ht="15.75" thickBot="1" x14ac:dyDescent="0.3">
      <c r="A29" s="98"/>
      <c r="B29" s="1"/>
      <c r="C29" s="151"/>
      <c r="D29" s="155"/>
      <c r="E29" s="1"/>
      <c r="F29" s="152"/>
      <c r="G29" s="1"/>
      <c r="H29" s="1"/>
      <c r="I29" s="1"/>
      <c r="J29" s="1"/>
      <c r="K29" s="1"/>
      <c r="L29" s="1"/>
      <c r="M29" s="1"/>
      <c r="N29" s="1"/>
      <c r="O29" s="1"/>
      <c r="P29" s="1"/>
      <c r="Q29" s="1"/>
    </row>
    <row r="30" spans="1:17" ht="121.15" customHeight="1" thickBot="1" x14ac:dyDescent="0.3">
      <c r="B30" s="153"/>
      <c r="C30" s="154" t="s">
        <v>125</v>
      </c>
      <c r="D30" s="206" t="s">
        <v>214</v>
      </c>
      <c r="E30" s="206"/>
      <c r="F30" s="206"/>
      <c r="G30" s="206"/>
      <c r="H30" s="206"/>
      <c r="I30" s="206"/>
      <c r="J30" s="206"/>
      <c r="K30" s="206"/>
      <c r="L30" s="206"/>
      <c r="M30" s="206"/>
      <c r="N30" s="206"/>
      <c r="O30" s="153"/>
      <c r="P30" s="153"/>
      <c r="Q30" s="153"/>
    </row>
    <row r="31" spans="1:17" ht="15.75" thickBot="1" x14ac:dyDescent="0.3">
      <c r="C31" s="92"/>
      <c r="D31" s="92"/>
      <c r="E31" s="92"/>
    </row>
    <row r="32" spans="1:17" ht="15.75" thickBot="1" x14ac:dyDescent="0.3">
      <c r="C32" s="170" t="b">
        <v>0</v>
      </c>
      <c r="D32" s="92" t="s">
        <v>215</v>
      </c>
      <c r="E32" s="92"/>
    </row>
    <row r="33" spans="3:5" ht="15.75" thickBot="1" x14ac:dyDescent="0.3">
      <c r="C33" s="92"/>
      <c r="D33" s="92"/>
      <c r="E33" s="92"/>
    </row>
    <row r="34" spans="3:5" ht="15.75" thickBot="1" x14ac:dyDescent="0.3">
      <c r="C34" s="170" t="b">
        <v>1</v>
      </c>
      <c r="D34" s="92" t="s">
        <v>198</v>
      </c>
      <c r="E34" s="92"/>
    </row>
    <row r="35" spans="3:5" x14ac:dyDescent="0.25">
      <c r="C35" s="96"/>
      <c r="D35" s="92" t="s">
        <v>216</v>
      </c>
      <c r="E35" s="92"/>
    </row>
    <row r="36" spans="3:5" ht="15.75" thickBot="1" x14ac:dyDescent="0.3">
      <c r="C36" s="92"/>
      <c r="D36" s="92"/>
      <c r="E36" s="92"/>
    </row>
    <row r="37" spans="3:5" ht="15.75" thickBot="1" x14ac:dyDescent="0.3">
      <c r="C37" s="97" t="b">
        <v>0</v>
      </c>
      <c r="D37" s="92" t="s">
        <v>199</v>
      </c>
      <c r="E37" s="92"/>
    </row>
    <row r="38" spans="3:5" ht="15.75" thickBot="1" x14ac:dyDescent="0.3">
      <c r="C38" s="96"/>
      <c r="D38" s="92"/>
      <c r="E38" s="92"/>
    </row>
    <row r="39" spans="3:5" ht="15.75" thickBot="1" x14ac:dyDescent="0.3">
      <c r="C39" s="170" t="b">
        <v>0</v>
      </c>
      <c r="D39" s="92" t="s">
        <v>217</v>
      </c>
      <c r="E39" s="92"/>
    </row>
    <row r="40" spans="3:5" x14ac:dyDescent="0.25">
      <c r="C40" s="92"/>
      <c r="D40" s="92" t="s">
        <v>175</v>
      </c>
      <c r="E40" s="92"/>
    </row>
    <row r="41" spans="3:5" ht="15.75" thickBot="1" x14ac:dyDescent="0.3">
      <c r="C41" s="96"/>
      <c r="D41" s="92"/>
      <c r="E41" s="92"/>
    </row>
    <row r="42" spans="3:5" ht="15.75" thickBot="1" x14ac:dyDescent="0.3">
      <c r="C42" s="170" t="b">
        <v>0</v>
      </c>
      <c r="D42" s="92" t="s">
        <v>218</v>
      </c>
      <c r="E42" s="92"/>
    </row>
    <row r="43" spans="3:5" x14ac:dyDescent="0.25">
      <c r="C43" s="92"/>
      <c r="D43" s="92" t="s">
        <v>126</v>
      </c>
      <c r="E43" s="92"/>
    </row>
    <row r="44" spans="3:5" ht="15.75" thickBot="1" x14ac:dyDescent="0.3">
      <c r="C44" s="96"/>
      <c r="D44" s="92"/>
      <c r="E44" s="92"/>
    </row>
    <row r="45" spans="3:5" ht="15.75" thickBot="1" x14ac:dyDescent="0.3">
      <c r="C45" s="150" t="b">
        <v>1</v>
      </c>
      <c r="D45" s="92" t="s">
        <v>219</v>
      </c>
      <c r="E45" s="92"/>
    </row>
    <row r="46" spans="3:5" ht="15.75" thickBot="1" x14ac:dyDescent="0.3">
      <c r="C46" s="96"/>
      <c r="D46" s="92"/>
      <c r="E46" s="92"/>
    </row>
    <row r="47" spans="3:5" ht="15.75" thickBot="1" x14ac:dyDescent="0.3">
      <c r="C47" s="97" t="b">
        <v>0</v>
      </c>
      <c r="D47" s="92" t="s">
        <v>220</v>
      </c>
      <c r="E47" s="92"/>
    </row>
    <row r="48" spans="3:5" ht="15.75" thickBot="1" x14ac:dyDescent="0.3">
      <c r="C48" s="92"/>
      <c r="D48" s="92"/>
      <c r="E48" s="92"/>
    </row>
    <row r="49" spans="2:6" ht="15.75" thickBot="1" x14ac:dyDescent="0.3">
      <c r="C49" s="97" t="b">
        <v>0</v>
      </c>
      <c r="D49" s="92" t="s">
        <v>176</v>
      </c>
      <c r="E49" s="92"/>
    </row>
    <row r="50" spans="2:6" ht="15.75" thickBot="1" x14ac:dyDescent="0.3">
      <c r="C50" s="92"/>
      <c r="D50" s="92"/>
      <c r="E50" s="92"/>
    </row>
    <row r="51" spans="2:6" ht="15.75" thickBot="1" x14ac:dyDescent="0.3">
      <c r="B51" s="92"/>
      <c r="C51" s="150" t="b">
        <v>1</v>
      </c>
      <c r="D51" s="95" t="s">
        <v>221</v>
      </c>
      <c r="E51" s="92"/>
    </row>
    <row r="52" spans="2:6" x14ac:dyDescent="0.25">
      <c r="B52" s="92"/>
      <c r="C52" s="92"/>
      <c r="D52" s="92" t="s">
        <v>127</v>
      </c>
      <c r="E52" s="92"/>
    </row>
    <row r="53" spans="2:6" ht="15.75" thickBot="1" x14ac:dyDescent="0.3"/>
    <row r="54" spans="2:6" s="98" customFormat="1" ht="15.75" thickBot="1" x14ac:dyDescent="0.3">
      <c r="C54" s="150" t="b">
        <v>1</v>
      </c>
      <c r="D54" s="98" t="s">
        <v>189</v>
      </c>
      <c r="E54" s="96"/>
    </row>
    <row r="55" spans="2:6" s="98" customFormat="1" x14ac:dyDescent="0.25">
      <c r="D55" s="98" t="s">
        <v>186</v>
      </c>
      <c r="E55" s="96"/>
    </row>
    <row r="56" spans="2:6" s="98" customFormat="1" ht="15.75" thickBot="1" x14ac:dyDescent="0.3">
      <c r="F56" s="91"/>
    </row>
    <row r="57" spans="2:6" s="98" customFormat="1" ht="15.75" thickBot="1" x14ac:dyDescent="0.3">
      <c r="C57" s="150" t="b">
        <v>0</v>
      </c>
      <c r="D57" s="95" t="s">
        <v>201</v>
      </c>
      <c r="E57" s="96"/>
    </row>
    <row r="58" spans="2:6" s="98" customFormat="1" x14ac:dyDescent="0.25">
      <c r="D58" s="98" t="s">
        <v>200</v>
      </c>
      <c r="E58" s="96"/>
    </row>
    <row r="59" spans="2:6" ht="15.75" thickBot="1" x14ac:dyDescent="0.3"/>
    <row r="60" spans="2:6" s="98" customFormat="1" ht="15.75" thickBot="1" x14ac:dyDescent="0.3">
      <c r="C60" s="150" t="b">
        <v>1</v>
      </c>
      <c r="D60" s="95" t="s">
        <v>190</v>
      </c>
      <c r="E60" s="96"/>
    </row>
    <row r="61" spans="2:6" s="98" customFormat="1" x14ac:dyDescent="0.25">
      <c r="D61" s="98" t="s">
        <v>191</v>
      </c>
      <c r="E61" s="96"/>
    </row>
    <row r="62" spans="2:6" s="164" customFormat="1" ht="11.25" customHeight="1" thickBot="1" x14ac:dyDescent="0.3">
      <c r="E62" s="96"/>
    </row>
    <row r="63" spans="2:6" s="164" customFormat="1" ht="15.75" thickBot="1" x14ac:dyDescent="0.3">
      <c r="C63" s="150" t="b">
        <v>0</v>
      </c>
      <c r="D63" s="95" t="s">
        <v>234</v>
      </c>
      <c r="E63" s="96"/>
    </row>
    <row r="64" spans="2:6" s="164" customFormat="1" ht="15.75" thickBot="1" x14ac:dyDescent="0.3">
      <c r="E64" s="96"/>
    </row>
    <row r="65" spans="2:17" s="164" customFormat="1" ht="15.75" thickBot="1" x14ac:dyDescent="0.3">
      <c r="C65" s="150" t="b">
        <v>0</v>
      </c>
      <c r="D65" s="95" t="s">
        <v>235</v>
      </c>
      <c r="E65" s="96"/>
    </row>
    <row r="66" spans="2:17" s="164" customFormat="1" x14ac:dyDescent="0.25">
      <c r="E66" s="96"/>
    </row>
    <row r="67" spans="2:17" ht="15.75" thickBot="1" x14ac:dyDescent="0.3">
      <c r="B67" s="1"/>
      <c r="C67" s="1"/>
      <c r="D67" s="1"/>
      <c r="E67" s="1"/>
      <c r="F67" s="15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J9"/>
  <sheetViews>
    <sheetView zoomScale="130" zoomScaleNormal="130" workbookViewId="0">
      <selection activeCell="D9" sqref="D9"/>
    </sheetView>
  </sheetViews>
  <sheetFormatPr defaultRowHeight="15" x14ac:dyDescent="0.25"/>
  <cols>
    <col min="3" max="3" width="3.42578125" style="164" customWidth="1"/>
    <col min="6" max="6" width="3.42578125" style="164" customWidth="1"/>
    <col min="9" max="9" width="3.42578125" style="164" customWidth="1"/>
  </cols>
  <sheetData>
    <row r="2" spans="2:10" ht="21" x14ac:dyDescent="0.35">
      <c r="B2" s="102" t="s">
        <v>177</v>
      </c>
      <c r="C2" s="102"/>
      <c r="D2" s="98"/>
    </row>
    <row r="3" spans="2:10" ht="15.75" thickBot="1" x14ac:dyDescent="0.3">
      <c r="B3" s="98"/>
      <c r="D3" s="98"/>
    </row>
    <row r="4" spans="2:10" x14ac:dyDescent="0.25">
      <c r="B4" s="103">
        <v>1</v>
      </c>
      <c r="C4" s="176"/>
      <c r="D4" s="99" t="str">
        <f>'MC-TF - 20 Pts'!C6</f>
        <v>D</v>
      </c>
      <c r="E4" s="103">
        <v>7</v>
      </c>
      <c r="F4" s="176"/>
      <c r="G4" s="99" t="b">
        <f>'MC-TF - 20 Pts'!C39</f>
        <v>0</v>
      </c>
      <c r="H4" s="103">
        <v>13</v>
      </c>
      <c r="I4" s="176"/>
      <c r="J4" s="99" t="b">
        <f>'MC-TF - 20 Pts'!C54</f>
        <v>1</v>
      </c>
    </row>
    <row r="5" spans="2:10" x14ac:dyDescent="0.25">
      <c r="B5" s="104">
        <v>2</v>
      </c>
      <c r="C5" s="175"/>
      <c r="D5" s="100" t="str">
        <f>'MC-TF - 20 Pts'!C14</f>
        <v>E</v>
      </c>
      <c r="E5" s="104">
        <v>8</v>
      </c>
      <c r="F5" s="175"/>
      <c r="G5" s="100" t="b">
        <f>'MC-TF - 20 Pts'!C42</f>
        <v>0</v>
      </c>
      <c r="H5" s="104">
        <v>14</v>
      </c>
      <c r="I5" s="175"/>
      <c r="J5" s="100" t="b">
        <f>'MC-TF - 20 Pts'!C57</f>
        <v>0</v>
      </c>
    </row>
    <row r="6" spans="2:10" x14ac:dyDescent="0.25">
      <c r="B6" s="104">
        <v>3</v>
      </c>
      <c r="C6" s="175"/>
      <c r="D6" s="100" t="str">
        <f>'MC-TF - 20 Pts'!C22</f>
        <v>A</v>
      </c>
      <c r="E6" s="104">
        <v>9</v>
      </c>
      <c r="F6" s="175"/>
      <c r="G6" s="100" t="b">
        <f>'MC-TF - 20 Pts'!C45</f>
        <v>1</v>
      </c>
      <c r="H6" s="104">
        <v>15</v>
      </c>
      <c r="I6" s="175"/>
      <c r="J6" s="100" t="b">
        <f>'MC-TF - 20 Pts'!C60</f>
        <v>1</v>
      </c>
    </row>
    <row r="7" spans="2:10" x14ac:dyDescent="0.25">
      <c r="B7" s="104">
        <v>4</v>
      </c>
      <c r="C7" s="175"/>
      <c r="D7" s="100" t="b">
        <f>'MC-TF - 20 Pts'!C32</f>
        <v>0</v>
      </c>
      <c r="E7" s="104">
        <v>10</v>
      </c>
      <c r="F7" s="175"/>
      <c r="G7" s="100" t="b">
        <f>'MC-TF - 20 Pts'!C47</f>
        <v>0</v>
      </c>
      <c r="H7" s="104">
        <v>16</v>
      </c>
      <c r="I7" s="175"/>
      <c r="J7" s="100" t="b">
        <f>'MC-TF - 20 Pts'!C63</f>
        <v>0</v>
      </c>
    </row>
    <row r="8" spans="2:10" s="164" customFormat="1" x14ac:dyDescent="0.25">
      <c r="B8" s="179">
        <v>5</v>
      </c>
      <c r="C8" s="180"/>
      <c r="D8" s="100" t="b">
        <f>'MC-TF - 20 Pts'!C34</f>
        <v>1</v>
      </c>
      <c r="E8" s="179">
        <v>11</v>
      </c>
      <c r="F8" s="180"/>
      <c r="G8" s="100" t="b">
        <f>'MC-TF - 20 Pts'!C49</f>
        <v>0</v>
      </c>
      <c r="H8" s="179">
        <v>17</v>
      </c>
      <c r="I8" s="180"/>
      <c r="J8" s="100" t="b">
        <f>'MC-TF - 20 Pts'!C65</f>
        <v>0</v>
      </c>
    </row>
    <row r="9" spans="2:10" ht="15.75" thickBot="1" x14ac:dyDescent="0.3">
      <c r="B9" s="105">
        <v>6</v>
      </c>
      <c r="C9" s="177"/>
      <c r="D9" s="101" t="b">
        <f>'MC-TF - 20 Pts'!C37</f>
        <v>0</v>
      </c>
      <c r="E9" s="105">
        <v>12</v>
      </c>
      <c r="F9" s="177"/>
      <c r="G9" s="101" t="b">
        <f>'MC-TF - 20 Pts'!C51</f>
        <v>1</v>
      </c>
      <c r="H9" s="181"/>
      <c r="I9" s="182"/>
      <c r="J9" s="18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Prob 1 - 30 Pts</vt:lpstr>
      <vt:lpstr>Prob 2 - 25 Pts </vt:lpstr>
      <vt:lpstr>Scenario Summary</vt:lpstr>
      <vt:lpstr>Prob 3 - 10 Pts</vt:lpstr>
      <vt:lpstr>Prob 4 - 5 - Pts</vt:lpstr>
      <vt:lpstr>Prob 5 - 5 Pts</vt:lpstr>
      <vt:lpstr>MC-TF - 20 Pts</vt:lpstr>
      <vt:lpstr>Sheet3</vt:lpstr>
      <vt:lpstr>Collect0</vt:lpstr>
      <vt:lpstr>Collect1</vt:lpstr>
      <vt:lpstr>Collect2</vt:lpstr>
      <vt:lpstr>NCF</vt:lpstr>
      <vt:lpstr>'Prob 1 - 30 Pts'!Print_Area</vt:lpstr>
      <vt:lpstr>'Prob 2 - 25 Pts '!Print_Area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cp:lastPrinted>2013-09-30T20:33:28Z</cp:lastPrinted>
  <dcterms:created xsi:type="dcterms:W3CDTF">2010-01-07T16:00:30Z</dcterms:created>
  <dcterms:modified xsi:type="dcterms:W3CDTF">2018-07-02T18:56:54Z</dcterms:modified>
</cp:coreProperties>
</file>