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defaultThemeVersion="124226"/>
  <mc:AlternateContent xmlns:mc="http://schemas.openxmlformats.org/markup-compatibility/2006">
    <mc:Choice Requires="x15">
      <x15ac:absPath xmlns:x15ac="http://schemas.microsoft.com/office/spreadsheetml/2010/11/ac" url="C:\Users\dhawley\Ole Miss Business Dropbox\Del Hawley\Class\Spring 2021\Exam 1\"/>
    </mc:Choice>
  </mc:AlternateContent>
  <xr:revisionPtr revIDLastSave="0" documentId="13_ncr:1_{99075B31-C522-41F9-BC26-9F88963EE118}" xr6:coauthVersionLast="36" xr6:coauthVersionMax="36" xr10:uidLastSave="{00000000-0000-0000-0000-000000000000}"/>
  <bookViews>
    <workbookView xWindow="0" yWindow="0" windowWidth="12840" windowHeight="11880" tabRatio="887" xr2:uid="{00000000-000D-0000-FFFF-FFFF00000000}"/>
  </bookViews>
  <sheets>
    <sheet name="INSTRUCTIONS" sheetId="8" r:id="rId1"/>
    <sheet name="Prob 1 - 35 Pts" sheetId="1" r:id="rId2"/>
    <sheet name="Prob 2 - 30 Pts " sheetId="6" r:id="rId3"/>
    <sheet name="Scenario Summary" sheetId="34" r:id="rId4"/>
    <sheet name="Prob 3 - 10 Pts" sheetId="7" r:id="rId5"/>
    <sheet name="Prob 4 - 5 - Pts" sheetId="21" r:id="rId6"/>
    <sheet name="MC-TF - 20 Pts" sheetId="18" r:id="rId7"/>
    <sheet name="Sheet3" sheetId="19" r:id="rId8"/>
  </sheets>
  <definedNames>
    <definedName name="Collect0">'Prob 2 - 30 Pts '!$F$22</definedName>
    <definedName name="Collect1">'Prob 2 - 30 Pts '!$F$23</definedName>
    <definedName name="Collect2">'Prob 2 - 30 Pts '!$F$24</definedName>
    <definedName name="NCF">'Prob 2 - 30 Pts '!$F$43:$N$43</definedName>
    <definedName name="_xlnm.Print_Area" localSheetId="1">'Prob 1 - 35 Pts'!$B$17:$G$67</definedName>
    <definedName name="_xlnm.Print_Area" localSheetId="2">'Prob 2 - 30 Pts '!$B$20:$N$55</definedName>
  </definedNames>
  <calcPr calcId="191029"/>
</workbook>
</file>

<file path=xl/calcChain.xml><?xml version="1.0" encoding="utf-8"?>
<calcChain xmlns="http://schemas.openxmlformats.org/spreadsheetml/2006/main">
  <c r="D22" i="21" l="1"/>
  <c r="E22" i="21" s="1"/>
  <c r="D23" i="21"/>
  <c r="E23" i="21"/>
  <c r="D56" i="1"/>
  <c r="D23" i="1"/>
  <c r="D11" i="21" l="1"/>
  <c r="E11" i="21" s="1"/>
  <c r="D12" i="21"/>
  <c r="E12" i="21" s="1"/>
  <c r="D13" i="21"/>
  <c r="E13" i="21" s="1"/>
  <c r="D14" i="21"/>
  <c r="E14" i="21" s="1"/>
  <c r="D15" i="21"/>
  <c r="E15" i="21" s="1"/>
  <c r="D16" i="21"/>
  <c r="E16" i="21"/>
  <c r="D17" i="21"/>
  <c r="E17" i="21" s="1"/>
  <c r="D18" i="21"/>
  <c r="E18" i="21" s="1"/>
  <c r="D19" i="21"/>
  <c r="E19" i="21"/>
  <c r="D20" i="21"/>
  <c r="E20" i="21"/>
  <c r="D21" i="21"/>
  <c r="E21" i="21" s="1"/>
  <c r="D91" i="1"/>
  <c r="D9" i="19" l="1"/>
  <c r="J8" i="19"/>
  <c r="J7" i="19"/>
  <c r="J6" i="19"/>
  <c r="J5" i="19"/>
  <c r="J4" i="19"/>
  <c r="G9" i="19"/>
  <c r="G8" i="19"/>
  <c r="G7" i="19"/>
  <c r="G6" i="19"/>
  <c r="G5" i="19"/>
  <c r="G4" i="19"/>
  <c r="D8" i="19"/>
  <c r="D7" i="19" l="1"/>
  <c r="D6" i="19"/>
  <c r="D5" i="19"/>
  <c r="D4" i="19"/>
  <c r="D10" i="21" l="1"/>
  <c r="E10" i="21" s="1"/>
  <c r="D9" i="21"/>
  <c r="E9" i="21" s="1"/>
  <c r="D8" i="21"/>
  <c r="E8" i="21" s="1"/>
  <c r="D94" i="1"/>
  <c r="C29" i="21" l="1"/>
  <c r="C27" i="21"/>
  <c r="F46" i="6" l="1"/>
  <c r="G42" i="6" s="1"/>
  <c r="F42" i="6"/>
  <c r="J36" i="6"/>
  <c r="I36" i="6"/>
  <c r="H36" i="6"/>
  <c r="G36" i="6"/>
  <c r="N33" i="6"/>
  <c r="N38" i="6" s="1"/>
  <c r="M33" i="6"/>
  <c r="M38" i="6" s="1"/>
  <c r="L33" i="6"/>
  <c r="L38" i="6" s="1"/>
  <c r="K33" i="6"/>
  <c r="K38" i="6" s="1"/>
  <c r="J33" i="6"/>
  <c r="I33" i="6"/>
  <c r="H33" i="6"/>
  <c r="G33" i="6"/>
  <c r="F33" i="6"/>
  <c r="F38" i="6" s="1"/>
  <c r="N31" i="6"/>
  <c r="M31" i="6"/>
  <c r="L31" i="6"/>
  <c r="K31" i="6"/>
  <c r="J31" i="6"/>
  <c r="I31" i="6"/>
  <c r="H31" i="6"/>
  <c r="G31" i="6"/>
  <c r="F31" i="6"/>
  <c r="D80" i="1"/>
  <c r="D50" i="1"/>
  <c r="D47" i="1"/>
  <c r="D46" i="1"/>
  <c r="D77" i="1" s="1"/>
  <c r="E66" i="1"/>
  <c r="E60" i="1"/>
  <c r="E62" i="1" s="1"/>
  <c r="E52" i="1"/>
  <c r="G30" i="1"/>
  <c r="G28" i="1"/>
  <c r="G27" i="1"/>
  <c r="G26" i="1"/>
  <c r="G24" i="1"/>
  <c r="G23" i="1"/>
  <c r="D30" i="1"/>
  <c r="D28" i="1"/>
  <c r="D75" i="1" s="1"/>
  <c r="D27" i="1"/>
  <c r="D26" i="1"/>
  <c r="E25" i="1"/>
  <c r="G25" i="1" s="1"/>
  <c r="E67" i="1" l="1"/>
  <c r="G46" i="6"/>
  <c r="H46" i="6" s="1"/>
  <c r="I46" i="6" s="1"/>
  <c r="J46" i="6" s="1"/>
  <c r="F26" i="1"/>
  <c r="F23" i="1"/>
  <c r="F27" i="1"/>
  <c r="E29" i="1"/>
  <c r="D24" i="1"/>
  <c r="F24" i="1" s="1"/>
  <c r="F30" i="1"/>
  <c r="D60" i="1"/>
  <c r="D62" i="1" s="1"/>
  <c r="D51" i="1"/>
  <c r="D52" i="1" s="1"/>
  <c r="J38" i="6"/>
  <c r="J43" i="6" s="1"/>
  <c r="M43" i="6"/>
  <c r="F43" i="6"/>
  <c r="F44" i="6" s="1"/>
  <c r="F45" i="6" s="1"/>
  <c r="F48" i="6" s="1"/>
  <c r="F52" i="6" s="1"/>
  <c r="K6" i="7" s="1"/>
  <c r="N43" i="6"/>
  <c r="H38" i="6"/>
  <c r="H43" i="6" s="1"/>
  <c r="L43" i="6"/>
  <c r="G38" i="6"/>
  <c r="G43" i="6" s="1"/>
  <c r="G44" i="6" s="1"/>
  <c r="K43" i="6"/>
  <c r="I38" i="6"/>
  <c r="I43" i="6" s="1"/>
  <c r="F28" i="1"/>
  <c r="J42" i="6"/>
  <c r="E54" i="1" l="1"/>
  <c r="E49" i="1" s="1"/>
  <c r="E44" i="1" s="1"/>
  <c r="G62" i="1"/>
  <c r="H42" i="6"/>
  <c r="H44" i="6" s="1"/>
  <c r="H45" i="6" s="1"/>
  <c r="I42" i="6"/>
  <c r="I44" i="6" s="1"/>
  <c r="I45" i="6" s="1"/>
  <c r="G45" i="6"/>
  <c r="G48" i="6" s="1"/>
  <c r="G52" i="6" s="1"/>
  <c r="L6" i="7" s="1"/>
  <c r="D25" i="1"/>
  <c r="F25" i="1" s="1"/>
  <c r="G66" i="1"/>
  <c r="G64" i="1"/>
  <c r="G60" i="1"/>
  <c r="G51" i="1"/>
  <c r="G65" i="1"/>
  <c r="G61" i="1"/>
  <c r="G57" i="1"/>
  <c r="G52" i="1"/>
  <c r="G48" i="1"/>
  <c r="G56" i="1"/>
  <c r="G47" i="1"/>
  <c r="G67" i="1"/>
  <c r="G63" i="1"/>
  <c r="G59" i="1"/>
  <c r="G50" i="1"/>
  <c r="G46" i="1"/>
  <c r="G58" i="1"/>
  <c r="G53" i="1"/>
  <c r="G45" i="1"/>
  <c r="E31" i="1"/>
  <c r="E32" i="1" s="1"/>
  <c r="G29" i="1"/>
  <c r="F53" i="6"/>
  <c r="K7" i="7" s="1"/>
  <c r="J44" i="6"/>
  <c r="J45" i="6" s="1"/>
  <c r="K46" i="6"/>
  <c r="K42" i="6"/>
  <c r="K44" i="6" s="1"/>
  <c r="G44" i="1" l="1"/>
  <c r="K45" i="6"/>
  <c r="G54" i="1"/>
  <c r="G49" i="1"/>
  <c r="E33" i="1"/>
  <c r="G33" i="1" s="1"/>
  <c r="D29" i="1"/>
  <c r="F29" i="1" s="1"/>
  <c r="G31" i="1"/>
  <c r="G53" i="6"/>
  <c r="L7" i="7" s="1"/>
  <c r="H48" i="6"/>
  <c r="I48" i="6" s="1"/>
  <c r="L46" i="6"/>
  <c r="L42" i="6"/>
  <c r="L44" i="6" s="1"/>
  <c r="G32" i="1" l="1"/>
  <c r="D31" i="1"/>
  <c r="F31" i="1" s="1"/>
  <c r="H52" i="6"/>
  <c r="M6" i="7" s="1"/>
  <c r="H53" i="6"/>
  <c r="M7" i="7" s="1"/>
  <c r="L45" i="6"/>
  <c r="J48" i="6"/>
  <c r="I52" i="6"/>
  <c r="N6" i="7" s="1"/>
  <c r="I53" i="6"/>
  <c r="N7" i="7" s="1"/>
  <c r="M46" i="6"/>
  <c r="M42" i="6"/>
  <c r="M44" i="6" s="1"/>
  <c r="M45" i="6" l="1"/>
  <c r="D32" i="1"/>
  <c r="D33" i="1" s="1"/>
  <c r="D65" i="1" s="1"/>
  <c r="K48" i="6"/>
  <c r="J53" i="6"/>
  <c r="O7" i="7" s="1"/>
  <c r="J52" i="6"/>
  <c r="O6" i="7" s="1"/>
  <c r="N46" i="6"/>
  <c r="N42" i="6"/>
  <c r="N44" i="6" s="1"/>
  <c r="F32" i="1" l="1"/>
  <c r="D66" i="1"/>
  <c r="D67" i="1" s="1"/>
  <c r="F33" i="1"/>
  <c r="D35" i="1"/>
  <c r="N45" i="6"/>
  <c r="L48" i="6"/>
  <c r="K52" i="6"/>
  <c r="P6" i="7" s="1"/>
  <c r="K53" i="6"/>
  <c r="P7" i="7" s="1"/>
  <c r="F66" i="1" l="1"/>
  <c r="D54" i="1"/>
  <c r="F67" i="1"/>
  <c r="F48" i="1"/>
  <c r="F52" i="1"/>
  <c r="F61" i="1"/>
  <c r="F57" i="1"/>
  <c r="F58" i="1"/>
  <c r="F45" i="1"/>
  <c r="F60" i="1"/>
  <c r="F62" i="1"/>
  <c r="F59" i="1"/>
  <c r="F47" i="1"/>
  <c r="F64" i="1"/>
  <c r="F63" i="1"/>
  <c r="F51" i="1"/>
  <c r="F53" i="1"/>
  <c r="F46" i="1"/>
  <c r="F56" i="1"/>
  <c r="F50" i="1"/>
  <c r="F65" i="1"/>
  <c r="M48" i="6"/>
  <c r="L52" i="6"/>
  <c r="Q6" i="7" s="1"/>
  <c r="L53" i="6"/>
  <c r="Q7" i="7" s="1"/>
  <c r="F54" i="1" l="1"/>
  <c r="D49" i="1"/>
  <c r="D44" i="1" s="1"/>
  <c r="F44" i="1" s="1"/>
  <c r="N48" i="6"/>
  <c r="M53" i="6"/>
  <c r="R7" i="7" s="1"/>
  <c r="M52" i="6"/>
  <c r="R6" i="7" s="1"/>
  <c r="F49" i="1" l="1"/>
  <c r="N53" i="6"/>
  <c r="S7" i="7" s="1"/>
  <c r="N52" i="6"/>
  <c r="S6" i="7" s="1"/>
</calcChain>
</file>

<file path=xl/sharedStrings.xml><?xml version="1.0" encoding="utf-8"?>
<sst xmlns="http://schemas.openxmlformats.org/spreadsheetml/2006/main" count="297" uniqueCount="245">
  <si>
    <t>Tax Rate</t>
  </si>
  <si>
    <t>Common Shares Outstanding</t>
  </si>
  <si>
    <t>Selling and G&amp;A Expenses</t>
  </si>
  <si>
    <t>Fixed Expenses</t>
  </si>
  <si>
    <t>Depreciation</t>
  </si>
  <si>
    <t>Interest Expense</t>
  </si>
  <si>
    <t>Dividends Per Share</t>
  </si>
  <si>
    <t>Accounts Receivable</t>
  </si>
  <si>
    <t>Inventory</t>
  </si>
  <si>
    <t xml:space="preserve">Accounts Payable </t>
  </si>
  <si>
    <t>Income Statements</t>
  </si>
  <si>
    <t>(Thousands of Dollars)</t>
  </si>
  <si>
    <t>Sales</t>
  </si>
  <si>
    <t>Cost of Goods</t>
  </si>
  <si>
    <t>Gross Profit</t>
  </si>
  <si>
    <t>EBIT</t>
  </si>
  <si>
    <t>Earnings Before Taxes</t>
  </si>
  <si>
    <t>Taxes</t>
  </si>
  <si>
    <t>Net Income</t>
  </si>
  <si>
    <t>Earnings Per Share</t>
  </si>
  <si>
    <t>Balance Sheets</t>
  </si>
  <si>
    <t>Cash</t>
  </si>
  <si>
    <t>Marketable Secutities</t>
  </si>
  <si>
    <t xml:space="preserve">Accounts Receivable </t>
  </si>
  <si>
    <t>Prepaid Expenses</t>
  </si>
  <si>
    <t>Total Current Assets</t>
  </si>
  <si>
    <t>Plant and Equipment</t>
  </si>
  <si>
    <t>Accumlated Depreciation</t>
  </si>
  <si>
    <t>Net Fixed Assets</t>
  </si>
  <si>
    <t>Long-Term Investments</t>
  </si>
  <si>
    <t>Total Assets</t>
  </si>
  <si>
    <t>Accounts Payable</t>
  </si>
  <si>
    <t>Notes Payable</t>
  </si>
  <si>
    <t>Accrued Expenses</t>
  </si>
  <si>
    <t>Other Current Liabilities</t>
  </si>
  <si>
    <t>Total Current Liabilities</t>
  </si>
  <si>
    <t>Long-Term Debt</t>
  </si>
  <si>
    <t>Total Liabilities</t>
  </si>
  <si>
    <t>Common Stock</t>
  </si>
  <si>
    <t>Additional Paid-In Capital</t>
  </si>
  <si>
    <t>Retained Earnings</t>
  </si>
  <si>
    <t>Total Shareholders Equity</t>
  </si>
  <si>
    <t>Total Liabilities and Owners Equity</t>
  </si>
  <si>
    <t>Statement of Cash Flows</t>
  </si>
  <si>
    <t>Cash Flows from Operations</t>
  </si>
  <si>
    <t xml:space="preserve">Net Income </t>
  </si>
  <si>
    <t>Depreciation Expense</t>
  </si>
  <si>
    <t>Change in Marketable Securities</t>
  </si>
  <si>
    <t>Change in Accounts Receivable</t>
  </si>
  <si>
    <t>Change in Inventories</t>
  </si>
  <si>
    <t>Change in Prepaid Expenses</t>
  </si>
  <si>
    <t>Change in Accounts Payable</t>
  </si>
  <si>
    <t>Change in Other Current Liabilities</t>
  </si>
  <si>
    <t>Total Cash Flows from Operations</t>
  </si>
  <si>
    <t>Cash Flows From Investing</t>
  </si>
  <si>
    <t xml:space="preserve">Change in Plant and Equipment </t>
  </si>
  <si>
    <t>Change in Long-Term Investments</t>
  </si>
  <si>
    <t>Total Cash Flows from Investing</t>
  </si>
  <si>
    <t>Cash Flows from Financing</t>
  </si>
  <si>
    <t>Change in Long-Term Debt</t>
  </si>
  <si>
    <t>Change in Common Stock</t>
  </si>
  <si>
    <t>Change in Paid-In Capital</t>
  </si>
  <si>
    <t>Cash Dividends Paid to Shareholders</t>
  </si>
  <si>
    <t>Total Cash Flows from Financing</t>
  </si>
  <si>
    <t>1.</t>
  </si>
  <si>
    <t xml:space="preserve">the information that is provided. All formulas and computations must </t>
  </si>
  <si>
    <t>2.</t>
  </si>
  <si>
    <t>in the inputs</t>
  </si>
  <si>
    <t>in Columns F and G.</t>
  </si>
  <si>
    <t>3.</t>
  </si>
  <si>
    <t>In the Statement of Cash Flows, create a formula in each of the yellow boxes</t>
  </si>
  <si>
    <t>that will produce the correct result for any values of the inputs.</t>
  </si>
  <si>
    <t xml:space="preserve">Additional Plant/Equipment </t>
  </si>
  <si>
    <t>Jan</t>
  </si>
  <si>
    <t>Feb</t>
  </si>
  <si>
    <t>Mar</t>
  </si>
  <si>
    <t>Apr</t>
  </si>
  <si>
    <t>May</t>
  </si>
  <si>
    <t>Jun</t>
  </si>
  <si>
    <t>Jul</t>
  </si>
  <si>
    <t>Aug</t>
  </si>
  <si>
    <t>Sep</t>
  </si>
  <si>
    <t>Oct</t>
  </si>
  <si>
    <t>Nov</t>
  </si>
  <si>
    <t>Dec</t>
  </si>
  <si>
    <t>Beginning Cash Balance</t>
  </si>
  <si>
    <t>Net Cash Flow</t>
  </si>
  <si>
    <t>Unadjusted Ending Cash Balance</t>
  </si>
  <si>
    <t>Adjustment Needed</t>
  </si>
  <si>
    <t>Ending Cash Balance</t>
  </si>
  <si>
    <t>Short-Term Loans Outstanding</t>
  </si>
  <si>
    <t>Marketable Securities</t>
  </si>
  <si>
    <t>INPUTS</t>
  </si>
  <si>
    <t>Desired End-Of-Month cash balance</t>
  </si>
  <si>
    <t>CASH BUDGET</t>
  </si>
  <si>
    <t>Lease Payments</t>
  </si>
  <si>
    <t>Tax Payments</t>
  </si>
  <si>
    <t>Change in Notes Payable</t>
  </si>
  <si>
    <t>Collections on sales in the month of the sale</t>
  </si>
  <si>
    <t>Capital Outlay for New Equipment</t>
  </si>
  <si>
    <t>Collections on sales in the month following the sale</t>
  </si>
  <si>
    <t>Collections on sales in the second month following the sale</t>
  </si>
  <si>
    <t>Month of the Capital Outlay</t>
  </si>
  <si>
    <t>Cash Operating Expenses as a Percentage of Current Month Sales</t>
  </si>
  <si>
    <t>Expected Sales</t>
  </si>
  <si>
    <t>Collections on Sales</t>
  </si>
  <si>
    <t>Cash Operating Expenses</t>
  </si>
  <si>
    <t>Capital Outlay</t>
  </si>
  <si>
    <t>Total Cash Outflows</t>
  </si>
  <si>
    <t>Short-Term Loans and Marketable Securities</t>
  </si>
  <si>
    <t xml:space="preserve">IMPORTANT: SAVE THIS SPREADSHEET TO THE DESKTOP OF THE </t>
  </si>
  <si>
    <t>NOTHING SHOULD BE USED OR ACCESSED BY YOU DURING THIS</t>
  </si>
  <si>
    <t>Points are shown on each tab. Partial credit will be given where possible.</t>
  </si>
  <si>
    <t>Follow the instructions on each tabbed page.</t>
  </si>
  <si>
    <t xml:space="preserve">THE PENALTY FOR ACADEMIC DISHONESTY IN THIS COURSE IS AN </t>
  </si>
  <si>
    <t xml:space="preserve">"F" GRADE FOR THE COURSE AND POSSIBLE EXPULSION FROM THE </t>
  </si>
  <si>
    <t>UNIVERSITY OF MISSISSIPPI.</t>
  </si>
  <si>
    <t>When you have completed this exam spreadsheet:</t>
  </si>
  <si>
    <t>e.    More than one of the above</t>
  </si>
  <si>
    <t>Type the letter
of your answer in
the highlighed cell</t>
  </si>
  <si>
    <r>
      <t>e.</t>
    </r>
    <r>
      <rPr>
        <sz val="7"/>
        <color theme="1"/>
        <rFont val="Times New Roman"/>
        <family val="1"/>
      </rPr>
      <t xml:space="preserve">      </t>
    </r>
    <r>
      <rPr>
        <sz val="11"/>
        <color theme="1"/>
        <rFont val="Calibri"/>
        <family val="2"/>
        <scheme val="minor"/>
      </rPr>
      <t>All of the above can be found in the common size statements</t>
    </r>
  </si>
  <si>
    <t>Type the word TRUE
or FALSE in the
highlighted cell</t>
  </si>
  <si>
    <t xml:space="preserve">     representations of the true current values of the firm's assets.</t>
  </si>
  <si>
    <t>TEST EXCEPT THE COMPUTER YOU ARE USING AND THIS FILE.</t>
  </si>
  <si>
    <t>The last tabbed page, named MC-TF, contains objective questions that</t>
  </si>
  <si>
    <t>on that page.</t>
  </si>
  <si>
    <t>June</t>
  </si>
  <si>
    <t>July</t>
  </si>
  <si>
    <t>August</t>
  </si>
  <si>
    <t>Cumulative Adjustment</t>
  </si>
  <si>
    <t>Collect0</t>
  </si>
  <si>
    <t>Collect1</t>
  </si>
  <si>
    <t>Collect2</t>
  </si>
  <si>
    <t>$F$43</t>
  </si>
  <si>
    <t>$G$43</t>
  </si>
  <si>
    <t>$H$43</t>
  </si>
  <si>
    <t>$I$43</t>
  </si>
  <si>
    <t>$J$43</t>
  </si>
  <si>
    <t>$K$43</t>
  </si>
  <si>
    <t>$L$43</t>
  </si>
  <si>
    <t>$M$43</t>
  </si>
  <si>
    <t>$N$43</t>
  </si>
  <si>
    <t>Good</t>
  </si>
  <si>
    <t>Normal</t>
  </si>
  <si>
    <t>Bad</t>
  </si>
  <si>
    <t>Scenario Summary</t>
  </si>
  <si>
    <t>Changing Cells:</t>
  </si>
  <si>
    <t>Current Values:</t>
  </si>
  <si>
    <t>Result Cells:</t>
  </si>
  <si>
    <t>Notes:  Current Values column represents values of changing cells at</t>
  </si>
  <si>
    <t>time Scenario Summary Report was created.  Changing cells for each</t>
  </si>
  <si>
    <t>scenario are highlighted in gray.</t>
  </si>
  <si>
    <t>APR</t>
  </si>
  <si>
    <t>MAY</t>
  </si>
  <si>
    <t>JUN</t>
  </si>
  <si>
    <t>JUL</t>
  </si>
  <si>
    <t>AUG</t>
  </si>
  <si>
    <t>SEP</t>
  </si>
  <si>
    <t>OCT</t>
  </si>
  <si>
    <t>NOV</t>
  </si>
  <si>
    <t>DEC</t>
  </si>
  <si>
    <t>Mkt'l Securities</t>
  </si>
  <si>
    <t>Short-Term Loans</t>
  </si>
  <si>
    <t>count 20 points toward the total of 100 points for this exam. Follow the instructions</t>
  </si>
  <si>
    <t xml:space="preserve"> 11. Net Income is the same as cash flow to shareholders.</t>
  </si>
  <si>
    <t>Do not change anything on this page.</t>
  </si>
  <si>
    <t>Year</t>
  </si>
  <si>
    <t>Annual
Rate of
Return</t>
  </si>
  <si>
    <t>Price
Relative
Return</t>
  </si>
  <si>
    <t>Geometric Mean:</t>
  </si>
  <si>
    <t>using GEOMEAN function</t>
  </si>
  <si>
    <t>using direct calculation</t>
  </si>
  <si>
    <t>Stock
Price</t>
  </si>
  <si>
    <t xml:space="preserve">      its total value during the year.</t>
  </si>
  <si>
    <r>
      <t>a.</t>
    </r>
    <r>
      <rPr>
        <sz val="7"/>
        <color theme="1"/>
        <rFont val="Times New Roman"/>
        <family val="1"/>
      </rPr>
      <t xml:space="preserve">      </t>
    </r>
    <r>
      <rPr>
        <sz val="11"/>
        <color theme="1"/>
        <rFont val="Calibri"/>
        <family val="2"/>
        <scheme val="minor"/>
      </rPr>
      <t>Shows the change in a firm's value over a period of time.</t>
    </r>
  </si>
  <si>
    <r>
      <t>c.</t>
    </r>
    <r>
      <rPr>
        <sz val="7"/>
        <color theme="1"/>
        <rFont val="Times New Roman"/>
        <family val="1"/>
      </rPr>
      <t xml:space="preserve">      </t>
    </r>
    <r>
      <rPr>
        <sz val="11"/>
        <color theme="1"/>
        <rFont val="Calibri"/>
        <family val="2"/>
        <scheme val="minor"/>
      </rPr>
      <t>Net profit margin</t>
    </r>
  </si>
  <si>
    <t xml:space="preserve">  13. The “true” profit for a company in a year would be the increase in </t>
  </si>
  <si>
    <t xml:space="preserve"> 15. The GEOMEAN function computes the geometric mean of a series of numbers, </t>
  </si>
  <si>
    <t xml:space="preserve">          but it only works correctly if all of the numbers are positive.</t>
  </si>
  <si>
    <r>
      <t>b.</t>
    </r>
    <r>
      <rPr>
        <sz val="7"/>
        <color theme="1"/>
        <rFont val="Times New Roman"/>
        <family val="1"/>
      </rPr>
      <t xml:space="preserve">      </t>
    </r>
    <r>
      <rPr>
        <sz val="11"/>
        <color theme="1"/>
        <rFont val="Calibri"/>
        <family val="2"/>
        <scheme val="minor"/>
      </rPr>
      <t>A decrease in inventory on the balance sheet.</t>
    </r>
  </si>
  <si>
    <r>
      <rPr>
        <sz val="11"/>
        <color theme="1"/>
        <rFont val="Calibri"/>
        <family val="2"/>
        <scheme val="minor"/>
      </rPr>
      <t>3.</t>
    </r>
    <r>
      <rPr>
        <sz val="7"/>
        <color theme="1"/>
        <rFont val="Times New Roman"/>
        <family val="1"/>
      </rPr>
      <t xml:space="preserve">       </t>
    </r>
    <r>
      <rPr>
        <sz val="11"/>
        <color theme="1"/>
        <rFont val="Calibri"/>
        <family val="2"/>
        <scheme val="minor"/>
      </rPr>
      <t>Which of the following cannot be found in the common size statements of a company?</t>
    </r>
  </si>
  <si>
    <t xml:space="preserve">          on the balance sheet.</t>
  </si>
  <si>
    <t xml:space="preserve"> 14. The book value of a company's common stock equals Total Assets minus Long Term Debt</t>
  </si>
  <si>
    <t>Multiple Choice
-2 Points per incorrect or omitted answer</t>
  </si>
  <si>
    <r>
      <t>b.</t>
    </r>
    <r>
      <rPr>
        <sz val="7"/>
        <color theme="1"/>
        <rFont val="Times New Roman"/>
        <family val="1"/>
      </rPr>
      <t>      </t>
    </r>
    <r>
      <rPr>
        <sz val="11"/>
        <color theme="1"/>
        <rFont val="Calibri"/>
        <family val="2"/>
        <scheme val="minor"/>
      </rPr>
      <t>Is a financial statement that shows the firm's financial position at a particular point in time.</t>
    </r>
  </si>
  <si>
    <r>
      <t>c.</t>
    </r>
    <r>
      <rPr>
        <sz val="7"/>
        <color theme="1"/>
        <rFont val="Times New Roman"/>
        <family val="1"/>
      </rPr>
      <t>      </t>
    </r>
    <r>
      <rPr>
        <sz val="11"/>
        <color theme="1"/>
        <rFont val="Calibri"/>
        <family val="2"/>
        <scheme val="minor"/>
      </rPr>
      <t>Is a financial statement that summarizes a firm's revenues and expenses at a particular point in time.</t>
    </r>
  </si>
  <si>
    <r>
      <t>d.</t>
    </r>
    <r>
      <rPr>
        <sz val="7"/>
        <color theme="1"/>
        <rFont val="Times New Roman"/>
        <family val="1"/>
      </rPr>
      <t xml:space="preserve">      </t>
    </r>
    <r>
      <rPr>
        <sz val="11"/>
        <color theme="1"/>
        <rFont val="Calibri"/>
        <family val="2"/>
        <scheme val="minor"/>
      </rPr>
      <t>Is a financial statement that summarizes a firm's revenues and expenses over a period of time.</t>
    </r>
  </si>
  <si>
    <r>
      <t>a.</t>
    </r>
    <r>
      <rPr>
        <sz val="7"/>
        <color theme="1"/>
        <rFont val="Times New Roman"/>
        <family val="1"/>
      </rPr>
      <t xml:space="preserve">       </t>
    </r>
    <r>
      <rPr>
        <sz val="11"/>
        <color theme="1"/>
        <rFont val="Calibri"/>
        <family val="2"/>
        <scheme val="minor"/>
      </rPr>
      <t>An increase in Accounts Payable on the balance sheet.</t>
    </r>
  </si>
  <si>
    <r>
      <t>b.</t>
    </r>
    <r>
      <rPr>
        <sz val="7"/>
        <color theme="1"/>
        <rFont val="Times New Roman"/>
        <family val="1"/>
      </rPr>
      <t xml:space="preserve">       </t>
    </r>
    <r>
      <rPr>
        <sz val="11"/>
        <color theme="1"/>
        <rFont val="Calibri"/>
        <family val="2"/>
        <scheme val="minor"/>
      </rPr>
      <t>Gross profit margin</t>
    </r>
  </si>
  <si>
    <t>True/False
-2 Points per incorrect or omitted answer</t>
  </si>
  <si>
    <t xml:space="preserve">  9. Depreciation for a period is included in the calculations on the statement of cash flows even though it is not a cash flow.</t>
  </si>
  <si>
    <t>Created by Del on 9/22/2011
Modified by D Hawley on 9/22/2013
Modified by Del on 6/9/2014
Modified by Del Hawley on 2/16/2015
Modified by Del Hawley on 6/12/2016
Modified by Del Hawley on 2/19/2018
Modified by Hawley, Del on 7/2/2018
Modified by Hawle</t>
  </si>
  <si>
    <t>Created by Del on 9/22/2011
Modified by Del on 6/9/2012
Modified by D Hawley on 9/22/2013
Modified by Del on 6/9/2014
Modified by Del Hawley on 2/16/2015
Modified by Del Hawley on 6/12/2016
Modified by Hawley, Del on 7/2/2018
Modified by Del Hawley on</t>
  </si>
  <si>
    <t xml:space="preserve"> 16. Operating profit margin equals operating profit (EBIT) divided by sales or revenue for a period.</t>
  </si>
  <si>
    <t xml:space="preserve">  8. Net Income on the income statement should always be an accurate representation of the increase in the actual total value</t>
  </si>
  <si>
    <t xml:space="preserve">       of the company during a given period.</t>
  </si>
  <si>
    <t xml:space="preserve">  7. A financial statement with each item expressed as a percentage of Sales is called</t>
  </si>
  <si>
    <t>2019</t>
  </si>
  <si>
    <r>
      <t xml:space="preserve">Note: 2019 Cost of Goods </t>
    </r>
    <r>
      <rPr>
        <b/>
        <u val="singleAccounting"/>
        <sz val="11"/>
        <color rgb="FFFF0000"/>
        <rFont val="Calibri"/>
        <family val="2"/>
        <scheme val="minor"/>
      </rPr>
      <t>as a percentage of sales</t>
    </r>
    <r>
      <rPr>
        <b/>
        <sz val="11"/>
        <color rgb="FFFF0000"/>
        <rFont val="Calibri"/>
        <family val="2"/>
        <scheme val="minor"/>
      </rPr>
      <t xml:space="preserve"> </t>
    </r>
    <r>
      <rPr>
        <b/>
        <sz val="11"/>
        <color theme="1"/>
        <rFont val="Calibri"/>
        <family val="2"/>
        <scheme val="minor"/>
      </rPr>
      <t>is the</t>
    </r>
  </si>
  <si>
    <t>E</t>
  </si>
  <si>
    <r>
      <t>1.</t>
    </r>
    <r>
      <rPr>
        <sz val="7"/>
        <color theme="1"/>
        <rFont val="Times New Roman"/>
        <family val="1"/>
      </rPr>
      <t xml:space="preserve">       </t>
    </r>
    <r>
      <rPr>
        <sz val="11"/>
        <color theme="1"/>
        <rFont val="Calibri"/>
        <family val="2"/>
        <scheme val="minor"/>
      </rPr>
      <t>The Income Statement:</t>
    </r>
  </si>
  <si>
    <r>
      <t>2.</t>
    </r>
    <r>
      <rPr>
        <sz val="7"/>
        <color theme="1"/>
        <rFont val="Times New Roman"/>
        <family val="1"/>
      </rPr>
      <t xml:space="preserve">       </t>
    </r>
    <r>
      <rPr>
        <sz val="11"/>
        <color theme="1"/>
        <rFont val="Calibri"/>
        <family val="2"/>
        <scheme val="minor"/>
      </rPr>
      <t>Which of the following would appear as a USE of cash on the statement of cash flows?</t>
    </r>
  </si>
  <si>
    <t>c.      Depreciation expense for the period.</t>
  </si>
  <si>
    <r>
      <t>d.</t>
    </r>
    <r>
      <rPr>
        <sz val="7"/>
        <color theme="1"/>
        <rFont val="Times New Roman"/>
        <family val="1"/>
      </rPr>
      <t xml:space="preserve">      </t>
    </r>
    <r>
      <rPr>
        <sz val="11"/>
        <color theme="1"/>
        <rFont val="Calibri"/>
        <family val="2"/>
        <scheme val="minor"/>
      </rPr>
      <t>More than one of the above</t>
    </r>
  </si>
  <si>
    <r>
      <t>e.</t>
    </r>
    <r>
      <rPr>
        <sz val="7"/>
        <color theme="1"/>
        <rFont val="Times New Roman"/>
        <family val="1"/>
      </rPr>
      <t xml:space="preserve">      </t>
    </r>
    <r>
      <rPr>
        <sz val="11"/>
        <color theme="1"/>
        <rFont val="Calibri"/>
        <family val="2"/>
        <scheme val="minor"/>
      </rPr>
      <t>None of the above (A-C).</t>
    </r>
  </si>
  <si>
    <r>
      <t>a.</t>
    </r>
    <r>
      <rPr>
        <sz val="7"/>
        <color theme="1"/>
        <rFont val="Times New Roman"/>
        <family val="1"/>
      </rPr>
      <t xml:space="preserve">       </t>
    </r>
    <r>
      <rPr>
        <sz val="11"/>
        <color theme="1"/>
        <rFont val="Calibri"/>
        <family val="2"/>
        <scheme val="minor"/>
      </rPr>
      <t>Debt to equity ratio</t>
    </r>
  </si>
  <si>
    <r>
      <t>d.</t>
    </r>
    <r>
      <rPr>
        <sz val="7"/>
        <color theme="1"/>
        <rFont val="Times New Roman"/>
        <family val="1"/>
      </rPr>
      <t xml:space="preserve">      </t>
    </r>
    <r>
      <rPr>
        <sz val="11"/>
        <color theme="1"/>
        <rFont val="Calibri"/>
        <family val="2"/>
        <scheme val="minor"/>
      </rPr>
      <t>Debt to assets ratio</t>
    </r>
  </si>
  <si>
    <t>A</t>
  </si>
  <si>
    <t xml:space="preserve">  4. VisiCalc was the first spreadsheet program ever to be marketed.</t>
  </si>
  <si>
    <t xml:space="preserve">  5. The change in the retained earnings entry on a balance sheet from one period to the next is always the</t>
  </si>
  <si>
    <t xml:space="preserve">           after-tax profit (net income) from the balance sheet for that period.</t>
  </si>
  <si>
    <t xml:space="preserve">  6. Retained earnings on the balance sheet does not represents funds that are currently available for new investments.</t>
  </si>
  <si>
    <t xml:space="preserve">      a common-sized income statement.</t>
  </si>
  <si>
    <t xml:space="preserve"> 10. In the Statement of Cash Flows, an decrease in the Marketable Securities account would be listed as a SOURCE of cash.</t>
  </si>
  <si>
    <t xml:space="preserve"> 12. The book values of assets as shown on the balance sheet are meant to be accurate </t>
  </si>
  <si>
    <t xml:space="preserve"> 17. In Excel,if ########## displays across all of a cell that should display a number, that means the formula has an error. </t>
  </si>
  <si>
    <t>D</t>
  </si>
  <si>
    <t>Complete the 2019 and 2020 Income Statements and Balance Sheets using</t>
  </si>
  <si>
    <t xml:space="preserve">appropriately use the 2020 inputs. All computations should reflect any changes </t>
  </si>
  <si>
    <t>Create the common size income statements and balance sheets for 2019 and 2020</t>
  </si>
  <si>
    <t>Inputs for 2020</t>
  </si>
  <si>
    <t xml:space="preserve">    same as it was in 2019.</t>
  </si>
  <si>
    <t>2019-2020</t>
  </si>
  <si>
    <t>2020</t>
  </si>
  <si>
    <t>There are 6 tabbed pages in this exam spreadsheet including this one.</t>
  </si>
  <si>
    <t>-</t>
  </si>
  <si>
    <r>
      <t xml:space="preserve">Save your work and </t>
    </r>
    <r>
      <rPr>
        <b/>
        <u/>
        <sz val="22"/>
        <color rgb="FFFF0000"/>
        <rFont val="Calibri"/>
        <family val="2"/>
        <scheme val="minor"/>
      </rPr>
      <t>close Excel</t>
    </r>
    <r>
      <rPr>
        <b/>
        <sz val="14"/>
        <color rgb="FFFF0000"/>
        <rFont val="Calibri"/>
        <family val="2"/>
        <scheme val="minor"/>
      </rPr>
      <t>.</t>
    </r>
  </si>
  <si>
    <t xml:space="preserve">   CONTENT folder in Blackboard.</t>
  </si>
  <si>
    <t>Follow the instructions for uploading your completed exam file.</t>
  </si>
  <si>
    <t>Click on SUBMIT. You should get a confirmation that the file was successfully uploaded.</t>
  </si>
  <si>
    <t>Make an entry for Question 1 in the Blackboard exam to finish and close out Proctorio</t>
  </si>
  <si>
    <t>Go back to the open Blackboard exam where Question 1 should still be showing.</t>
  </si>
  <si>
    <t>Type anything in the answer field for Question 1.</t>
  </si>
  <si>
    <t>Submit the exam as completed.</t>
  </si>
  <si>
    <t>Retain your completed exam file. It will not be returned to you with your scoring feedback.</t>
  </si>
  <si>
    <t>Open the  item named DROPBOX 1 FOR EXAM 1 in the main</t>
  </si>
  <si>
    <t>Upload the completed file to the TWO dropboxes for Exam 1 in Blackboard</t>
  </si>
  <si>
    <t>Open the  item named DROPBOX 2 FOR EXAM 1 in the main</t>
  </si>
  <si>
    <t>Put your student number here:</t>
  </si>
  <si>
    <t>Put your "Last name, First name" here:</t>
  </si>
  <si>
    <r>
      <t>COMPUTER YOU ARE USING</t>
    </r>
    <r>
      <rPr>
        <b/>
        <u/>
        <sz val="14"/>
        <color rgb="FFFF0000"/>
        <rFont val="Calibri"/>
        <family val="2"/>
        <scheme val="minor"/>
      </rPr>
      <t xml:space="preserve"> </t>
    </r>
    <r>
      <rPr>
        <b/>
        <i/>
        <sz val="14"/>
        <color rgb="FF002060"/>
        <rFont val="Calibri"/>
        <family val="2"/>
        <scheme val="minor"/>
      </rPr>
      <t>BEFORE YOU BEGIN WORKING ON IT.</t>
    </r>
  </si>
  <si>
    <t>RESAVE IT OFTEN WHILE YOU ARE WORKING ON IT. DO NOT</t>
  </si>
  <si>
    <t>SAVE IT TO ANY ONLINE/CLOUD STORAGE LOCATION SUCH AS</t>
  </si>
  <si>
    <t>ONEDRIVE.</t>
  </si>
  <si>
    <t>LEAVE BLACKBOARD OPEN WHILE YOU WORK ON THE EXAM 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</si>
</sst>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0.000"/>
    <numFmt numFmtId="168" formatCode="_(* #,##0.0000_);_(* \(#,##0.0000\);_(* &quot;-&quot;??_);_(@_)"/>
    <numFmt numFmtId="169" formatCode="0.0000%"/>
  </numFmts>
  <fonts count="2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u val="singleAccounting"/>
      <sz val="11"/>
      <color rgb="FFFF0000"/>
      <name val="Calibri"/>
      <family val="2"/>
      <scheme val="minor"/>
    </font>
    <font>
      <b/>
      <sz val="11"/>
      <color rgb="FFFF0000"/>
      <name val="Calibri"/>
      <family val="2"/>
      <scheme val="minor"/>
    </font>
    <font>
      <b/>
      <u val="singleAccounting"/>
      <sz val="11"/>
      <color theme="1"/>
      <name val="Calibri"/>
      <family val="2"/>
      <scheme val="minor"/>
    </font>
    <font>
      <u val="singleAccounting"/>
      <sz val="11"/>
      <color theme="1"/>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7"/>
      <color theme="1"/>
      <name val="Times New Roman"/>
      <family val="1"/>
    </font>
    <font>
      <sz val="10"/>
      <color indexed="9"/>
      <name val="Calibri"/>
      <family val="2"/>
      <scheme val="minor"/>
    </font>
    <font>
      <sz val="8"/>
      <color theme="1"/>
      <name val="Calibri"/>
      <family val="2"/>
      <scheme val="minor"/>
    </font>
    <font>
      <sz val="11"/>
      <name val="Times New Roman"/>
      <family val="1"/>
    </font>
    <font>
      <sz val="10"/>
      <name val="MS Sans Serif"/>
      <family val="2"/>
    </font>
    <font>
      <b/>
      <sz val="16"/>
      <color rgb="FFFF0000"/>
      <name val="Calibri"/>
      <family val="2"/>
      <scheme val="minor"/>
    </font>
    <font>
      <b/>
      <sz val="11"/>
      <color theme="0" tint="-4.9989318521683403E-2"/>
      <name val="Calibri"/>
      <family val="2"/>
      <scheme val="minor"/>
    </font>
    <font>
      <b/>
      <sz val="20"/>
      <color theme="1"/>
      <name val="Calibri"/>
      <family val="2"/>
      <scheme val="minor"/>
    </font>
    <font>
      <b/>
      <u/>
      <sz val="22"/>
      <color rgb="FFFF0000"/>
      <name val="Calibri"/>
      <family val="2"/>
      <scheme val="minor"/>
    </font>
    <font>
      <b/>
      <u/>
      <sz val="11"/>
      <color theme="1"/>
      <name val="Calibri"/>
      <family val="2"/>
      <scheme val="minor"/>
    </font>
    <font>
      <b/>
      <u/>
      <sz val="14"/>
      <color rgb="FFFF0000"/>
      <name val="Calibri"/>
      <family val="2"/>
      <scheme val="minor"/>
    </font>
    <font>
      <b/>
      <i/>
      <sz val="14"/>
      <color rgb="FF002060"/>
      <name val="Calibri"/>
      <family val="2"/>
      <scheme val="minor"/>
    </font>
    <font>
      <b/>
      <sz val="12"/>
      <color indexed="9"/>
      <name val="Calibri"/>
      <family val="2"/>
      <scheme val="minor"/>
    </font>
    <font>
      <b/>
      <sz val="11"/>
      <color indexed="8"/>
      <name val="Calibri"/>
      <family val="2"/>
      <scheme val="minor"/>
    </font>
    <font>
      <b/>
      <sz val="11"/>
      <color indexed="18"/>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indexed="20"/>
        <bgColor indexed="24"/>
      </patternFill>
    </fill>
    <fill>
      <patternFill patternType="solid">
        <fgColor indexed="22"/>
        <bgColor indexed="24"/>
      </patternFill>
    </fill>
    <fill>
      <patternFill patternType="solid">
        <fgColor indexed="22"/>
        <bgColor indexed="7"/>
      </patternFill>
    </fill>
    <fill>
      <patternFill patternType="solid">
        <fgColor theme="3" tint="0.79998168889431442"/>
        <bgColor indexed="64"/>
      </patternFill>
    </fill>
    <fill>
      <patternFill patternType="solid">
        <fgColor theme="1"/>
        <bgColor indexed="64"/>
      </patternFill>
    </fill>
    <fill>
      <patternFill patternType="solid">
        <fgColor theme="4" tint="-0.249977111117893"/>
        <bgColor indexed="64"/>
      </patternFill>
    </fill>
  </fills>
  <borders count="31">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5" fillId="0" borderId="0"/>
    <xf numFmtId="40" fontId="16" fillId="0" borderId="0" applyFont="0" applyFill="0" applyBorder="0" applyAlignment="0" applyProtection="0"/>
  </cellStyleXfs>
  <cellXfs count="153">
    <xf numFmtId="0" fontId="0" fillId="0" borderId="0" xfId="0"/>
    <xf numFmtId="0" fontId="0" fillId="0" borderId="1" xfId="0" applyBorder="1"/>
    <xf numFmtId="43" fontId="0" fillId="0" borderId="0" xfId="0" applyNumberFormat="1"/>
    <xf numFmtId="43" fontId="0" fillId="0" borderId="0" xfId="0" applyNumberFormat="1" applyAlignment="1">
      <alignment horizontal="left" indent="2"/>
    </xf>
    <xf numFmtId="166" fontId="2" fillId="0" borderId="0" xfId="2" applyNumberFormat="1" applyFont="1"/>
    <xf numFmtId="43" fontId="0" fillId="0" borderId="1" xfId="0" applyNumberFormat="1" applyBorder="1" applyAlignment="1">
      <alignment horizontal="left" indent="2"/>
    </xf>
    <xf numFmtId="43" fontId="3" fillId="0" borderId="0" xfId="0" applyNumberFormat="1" applyFont="1" applyAlignment="1">
      <alignment horizontal="left"/>
    </xf>
    <xf numFmtId="43" fontId="3" fillId="0" borderId="1" xfId="0" applyNumberFormat="1" applyFont="1" applyBorder="1" applyAlignment="1">
      <alignment horizontal="left" indent="2"/>
    </xf>
    <xf numFmtId="0" fontId="4" fillId="0" borderId="0" xfId="0" applyFont="1" applyAlignment="1">
      <alignment horizontal="center"/>
    </xf>
    <xf numFmtId="44" fontId="0" fillId="0" borderId="0" xfId="0" applyNumberFormat="1"/>
    <xf numFmtId="10" fontId="0" fillId="0" borderId="0" xfId="3" applyNumberFormat="1" applyFont="1"/>
    <xf numFmtId="43" fontId="8" fillId="0" borderId="0" xfId="0" applyNumberFormat="1" applyFont="1"/>
    <xf numFmtId="167" fontId="0" fillId="0" borderId="0" xfId="0" applyNumberFormat="1"/>
    <xf numFmtId="0" fontId="4" fillId="0" borderId="0" xfId="0" quotePrefix="1" applyFont="1" applyAlignment="1">
      <alignment horizontal="center"/>
    </xf>
    <xf numFmtId="43" fontId="0" fillId="0" borderId="0" xfId="0" applyNumberFormat="1" applyAlignment="1">
      <alignment horizontal="left" indent="1"/>
    </xf>
    <xf numFmtId="44" fontId="0" fillId="0" borderId="0" xfId="2" applyFont="1"/>
    <xf numFmtId="43" fontId="8" fillId="0" borderId="0" xfId="0" applyNumberFormat="1" applyFont="1" applyAlignment="1">
      <alignment horizontal="left" indent="1"/>
    </xf>
    <xf numFmtId="43" fontId="3" fillId="0" borderId="0" xfId="0" applyNumberFormat="1" applyFont="1"/>
    <xf numFmtId="44" fontId="3" fillId="0" borderId="0" xfId="2" applyFont="1"/>
    <xf numFmtId="43" fontId="8" fillId="0" borderId="0" xfId="0" applyNumberFormat="1" applyFont="1" applyAlignment="1">
      <alignment horizontal="center"/>
    </xf>
    <xf numFmtId="43" fontId="9" fillId="0" borderId="0" xfId="0" applyNumberFormat="1" applyFont="1"/>
    <xf numFmtId="44" fontId="9" fillId="0" borderId="0" xfId="2" applyFont="1"/>
    <xf numFmtId="43" fontId="7" fillId="0" borderId="0" xfId="0" applyNumberFormat="1" applyFont="1"/>
    <xf numFmtId="44" fontId="7" fillId="0" borderId="0" xfId="2" applyFont="1"/>
    <xf numFmtId="43" fontId="9" fillId="0" borderId="1" xfId="0" applyNumberFormat="1" applyFont="1" applyBorder="1"/>
    <xf numFmtId="44" fontId="9" fillId="0" borderId="1" xfId="2" applyFont="1" applyBorder="1"/>
    <xf numFmtId="43" fontId="10" fillId="0" borderId="0" xfId="0" applyNumberFormat="1" applyFont="1"/>
    <xf numFmtId="44" fontId="0" fillId="0" borderId="3" xfId="2" applyFont="1" applyBorder="1"/>
    <xf numFmtId="41" fontId="0" fillId="0" borderId="1" xfId="0" applyNumberFormat="1" applyBorder="1"/>
    <xf numFmtId="41" fontId="0" fillId="0" borderId="0" xfId="0" applyNumberFormat="1"/>
    <xf numFmtId="41" fontId="8" fillId="0" borderId="0" xfId="0" applyNumberFormat="1" applyFont="1" applyAlignment="1">
      <alignment horizontal="left" indent="1"/>
    </xf>
    <xf numFmtId="41" fontId="8" fillId="0" borderId="0" xfId="0" applyNumberFormat="1" applyFont="1"/>
    <xf numFmtId="41" fontId="3" fillId="0" borderId="0" xfId="0" applyNumberFormat="1" applyFont="1"/>
    <xf numFmtId="41" fontId="9" fillId="0" borderId="0" xfId="0" applyNumberFormat="1" applyFont="1"/>
    <xf numFmtId="41" fontId="0" fillId="2" borderId="3" xfId="0" applyNumberFormat="1" applyFill="1" applyBorder="1"/>
    <xf numFmtId="41" fontId="0" fillId="0" borderId="0" xfId="0" applyNumberFormat="1" applyAlignment="1">
      <alignment vertical="center"/>
    </xf>
    <xf numFmtId="41" fontId="0" fillId="4" borderId="1" xfId="0" applyNumberFormat="1" applyFill="1" applyBorder="1" applyAlignment="1">
      <alignment vertical="center"/>
    </xf>
    <xf numFmtId="41" fontId="3" fillId="4" borderId="1" xfId="0" applyNumberFormat="1" applyFont="1" applyFill="1" applyBorder="1" applyAlignment="1">
      <alignment horizontal="center" vertical="center"/>
    </xf>
    <xf numFmtId="41" fontId="7" fillId="0" borderId="0" xfId="0" applyNumberFormat="1" applyFont="1" applyAlignment="1">
      <alignment horizontal="center"/>
    </xf>
    <xf numFmtId="166" fontId="2" fillId="2" borderId="3" xfId="2" applyNumberFormat="1" applyFont="1" applyFill="1" applyBorder="1"/>
    <xf numFmtId="9" fontId="2" fillId="2" borderId="3" xfId="0" applyNumberFormat="1" applyFont="1" applyFill="1" applyBorder="1"/>
    <xf numFmtId="166" fontId="1" fillId="0" borderId="0" xfId="2" applyNumberFormat="1"/>
    <xf numFmtId="166" fontId="8" fillId="0" borderId="0" xfId="2" applyNumberFormat="1" applyFont="1"/>
    <xf numFmtId="166" fontId="1" fillId="0" borderId="4" xfId="2" applyNumberFormat="1" applyBorder="1"/>
    <xf numFmtId="41" fontId="7" fillId="0" borderId="0" xfId="0" applyNumberFormat="1" applyFont="1"/>
    <xf numFmtId="0" fontId="11" fillId="0" borderId="0" xfId="0" applyFont="1"/>
    <xf numFmtId="43" fontId="0" fillId="2" borderId="4" xfId="0" applyNumberFormat="1" applyFill="1" applyBorder="1"/>
    <xf numFmtId="43" fontId="0" fillId="2" borderId="0" xfId="0" applyNumberFormat="1" applyFill="1"/>
    <xf numFmtId="43" fontId="8" fillId="2" borderId="0" xfId="0" applyNumberFormat="1" applyFont="1" applyFill="1"/>
    <xf numFmtId="0" fontId="13" fillId="5" borderId="6" xfId="0" applyFont="1" applyFill="1" applyBorder="1" applyAlignment="1">
      <alignment horizontal="right"/>
    </xf>
    <xf numFmtId="0" fontId="13" fillId="5" borderId="14" xfId="0" applyFont="1" applyFill="1" applyBorder="1" applyAlignment="1">
      <alignment horizontal="right"/>
    </xf>
    <xf numFmtId="43" fontId="0" fillId="3" borderId="5" xfId="0" applyNumberFormat="1" applyFill="1" applyBorder="1"/>
    <xf numFmtId="0" fontId="0" fillId="3" borderId="6" xfId="0" applyFill="1" applyBorder="1"/>
    <xf numFmtId="43" fontId="0" fillId="3" borderId="6" xfId="0" applyNumberFormat="1" applyFill="1" applyBorder="1"/>
    <xf numFmtId="43" fontId="0" fillId="3" borderId="7" xfId="0" applyNumberFormat="1" applyFill="1" applyBorder="1"/>
    <xf numFmtId="43" fontId="0" fillId="3" borderId="8" xfId="0" applyNumberFormat="1" applyFill="1" applyBorder="1"/>
    <xf numFmtId="0" fontId="0" fillId="3" borderId="0" xfId="0" quotePrefix="1" applyFill="1"/>
    <xf numFmtId="43" fontId="0" fillId="3" borderId="0" xfId="0" applyNumberFormat="1" applyFill="1"/>
    <xf numFmtId="43" fontId="0" fillId="3" borderId="9" xfId="0" applyNumberFormat="1" applyFill="1" applyBorder="1"/>
    <xf numFmtId="0" fontId="0" fillId="3" borderId="0" xfId="0" applyFill="1"/>
    <xf numFmtId="43" fontId="0" fillId="3" borderId="10" xfId="0" applyNumberFormat="1" applyFill="1" applyBorder="1"/>
    <xf numFmtId="43" fontId="0" fillId="3" borderId="11" xfId="0" applyNumberFormat="1" applyFill="1" applyBorder="1"/>
    <xf numFmtId="43" fontId="0" fillId="3" borderId="1" xfId="0" applyNumberFormat="1" applyFill="1" applyBorder="1"/>
    <xf numFmtId="0" fontId="0" fillId="3" borderId="1" xfId="0" applyFill="1" applyBorder="1"/>
    <xf numFmtId="0" fontId="0" fillId="0" borderId="0" xfId="0" applyAlignment="1">
      <alignment horizontal="left"/>
    </xf>
    <xf numFmtId="0" fontId="0" fillId="0" borderId="0" xfId="0" applyAlignment="1">
      <alignment horizontal="left" vertical="center" indent="9"/>
    </xf>
    <xf numFmtId="0" fontId="0" fillId="0" borderId="0" xfId="0" applyAlignment="1">
      <alignment horizontal="left" vertical="center" indent="4"/>
    </xf>
    <xf numFmtId="0" fontId="0" fillId="0" borderId="0" xfId="0" applyAlignment="1">
      <alignment horizontal="left" vertical="center"/>
    </xf>
    <xf numFmtId="0" fontId="0" fillId="0" borderId="0" xfId="0" applyAlignment="1">
      <alignment horizontal="center"/>
    </xf>
    <xf numFmtId="0" fontId="0" fillId="2" borderId="3" xfId="0" applyFill="1" applyBorder="1" applyAlignment="1">
      <alignment horizont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17" fillId="0" borderId="0" xfId="0" applyFont="1"/>
    <xf numFmtId="0" fontId="3" fillId="8" borderId="16" xfId="0" applyFont="1" applyFill="1" applyBorder="1" applyAlignment="1">
      <alignment horizontal="center" vertical="center"/>
    </xf>
    <xf numFmtId="0" fontId="3" fillId="8" borderId="18" xfId="0" applyFont="1" applyFill="1" applyBorder="1" applyAlignment="1">
      <alignment horizontal="center" vertical="center"/>
    </xf>
    <xf numFmtId="0" fontId="3" fillId="8" borderId="20" xfId="0" applyFont="1" applyFill="1" applyBorder="1" applyAlignment="1">
      <alignment horizontal="center" vertical="center"/>
    </xf>
    <xf numFmtId="44" fontId="0" fillId="0" borderId="4" xfId="0" applyNumberFormat="1" applyBorder="1"/>
    <xf numFmtId="10" fontId="0" fillId="0" borderId="4" xfId="3" applyNumberFormat="1" applyFont="1" applyBorder="1"/>
    <xf numFmtId="0" fontId="0" fillId="0" borderId="18" xfId="0" applyBorder="1" applyAlignment="1">
      <alignment horizontal="center"/>
    </xf>
    <xf numFmtId="168" fontId="0" fillId="0" borderId="19" xfId="1" applyNumberFormat="1" applyFont="1" applyBorder="1"/>
    <xf numFmtId="0" fontId="0" fillId="0" borderId="20" xfId="0" applyBorder="1" applyAlignment="1">
      <alignment horizontal="center"/>
    </xf>
    <xf numFmtId="44" fontId="0" fillId="0" borderId="23" xfId="0" applyNumberFormat="1" applyBorder="1"/>
    <xf numFmtId="0" fontId="0" fillId="0" borderId="22" xfId="0" applyBorder="1" applyAlignment="1">
      <alignment horizontal="center"/>
    </xf>
    <xf numFmtId="44" fontId="0" fillId="0" borderId="24" xfId="0" applyNumberFormat="1" applyBorder="1"/>
    <xf numFmtId="44" fontId="0" fillId="9" borderId="24" xfId="0" applyNumberFormat="1" applyFill="1" applyBorder="1"/>
    <xf numFmtId="44" fontId="18" fillId="10" borderId="25" xfId="0" applyNumberFormat="1" applyFont="1" applyFill="1" applyBorder="1" applyAlignment="1">
      <alignment horizontal="center" vertical="center"/>
    </xf>
    <xf numFmtId="44" fontId="18" fillId="10" borderId="26" xfId="0" applyNumberFormat="1" applyFont="1" applyFill="1" applyBorder="1" applyAlignment="1">
      <alignment horizontal="center" vertical="center" wrapText="1"/>
    </xf>
    <xf numFmtId="44" fontId="18" fillId="10" borderId="27" xfId="0" applyNumberFormat="1" applyFont="1" applyFill="1" applyBorder="1" applyAlignment="1">
      <alignment horizontal="center" vertical="center" wrapText="1"/>
    </xf>
    <xf numFmtId="44" fontId="0" fillId="0" borderId="5" xfId="0" applyNumberFormat="1" applyBorder="1"/>
    <xf numFmtId="44" fontId="0" fillId="0" borderId="6" xfId="0" applyNumberFormat="1" applyBorder="1"/>
    <xf numFmtId="44" fontId="0" fillId="0" borderId="7" xfId="0" applyNumberFormat="1" applyBorder="1"/>
    <xf numFmtId="44" fontId="0" fillId="0" borderId="9" xfId="0" applyNumberFormat="1" applyBorder="1"/>
    <xf numFmtId="44" fontId="0" fillId="0" borderId="8" xfId="0" applyNumberFormat="1" applyBorder="1"/>
    <xf numFmtId="44" fontId="0" fillId="0" borderId="10" xfId="0" applyNumberFormat="1" applyBorder="1"/>
    <xf numFmtId="44" fontId="0" fillId="0" borderId="1" xfId="0" applyNumberFormat="1" applyBorder="1"/>
    <xf numFmtId="44" fontId="0" fillId="0" borderId="11" xfId="0" applyNumberFormat="1" applyBorder="1"/>
    <xf numFmtId="44" fontId="3" fillId="0" borderId="8" xfId="0" applyNumberFormat="1" applyFont="1" applyBorder="1" applyAlignment="1">
      <alignment horizontal="left" indent="1"/>
    </xf>
    <xf numFmtId="169" fontId="0" fillId="2" borderId="3" xfId="3" applyNumberFormat="1" applyFont="1" applyFill="1" applyBorder="1" applyAlignment="1">
      <alignment horizontal="center"/>
    </xf>
    <xf numFmtId="44" fontId="0" fillId="0" borderId="0" xfId="0" applyNumberFormat="1" applyAlignment="1">
      <alignment horizontal="center"/>
    </xf>
    <xf numFmtId="0" fontId="0" fillId="2" borderId="3" xfId="0" applyFill="1" applyBorder="1"/>
    <xf numFmtId="0" fontId="0" fillId="0" borderId="1" xfId="0" applyBorder="1" applyAlignment="1">
      <alignment horizontal="center"/>
    </xf>
    <xf numFmtId="0" fontId="0" fillId="0" borderId="1" xfId="0" applyBorder="1" applyAlignment="1">
      <alignment horizontal="left"/>
    </xf>
    <xf numFmtId="0" fontId="0" fillId="0" borderId="2" xfId="0" applyBorder="1"/>
    <xf numFmtId="0" fontId="3" fillId="0" borderId="2" xfId="0" applyFont="1" applyBorder="1" applyAlignment="1">
      <alignment horizontal="center" textRotation="90" wrapText="1"/>
    </xf>
    <xf numFmtId="0" fontId="0" fillId="0" borderId="1" xfId="0" applyBorder="1" applyAlignment="1">
      <alignment horizontal="left" vertical="center" indent="9"/>
    </xf>
    <xf numFmtId="165" fontId="6" fillId="0" borderId="0" xfId="1" applyNumberFormat="1" applyFont="1"/>
    <xf numFmtId="166" fontId="6" fillId="0" borderId="0" xfId="2" applyNumberFormat="1" applyFont="1"/>
    <xf numFmtId="44" fontId="6" fillId="0" borderId="0" xfId="2" applyFont="1"/>
    <xf numFmtId="166" fontId="6" fillId="0" borderId="1" xfId="2" applyNumberFormat="1" applyFont="1" applyBorder="1"/>
    <xf numFmtId="164" fontId="6" fillId="0" borderId="0" xfId="3" applyNumberFormat="1" applyFont="1"/>
    <xf numFmtId="0" fontId="0" fillId="0" borderId="28" xfId="0" applyBorder="1" applyAlignment="1">
      <alignment horizontal="center"/>
    </xf>
    <xf numFmtId="44" fontId="0" fillId="0" borderId="29" xfId="0" applyNumberFormat="1" applyBorder="1"/>
    <xf numFmtId="0" fontId="3" fillId="3" borderId="4"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23" xfId="0" applyFont="1" applyFill="1" applyBorder="1" applyAlignment="1">
      <alignment horizontal="center" vertical="center"/>
    </xf>
    <xf numFmtId="0" fontId="3" fillId="8" borderId="28" xfId="0" applyFont="1" applyFill="1" applyBorder="1" applyAlignment="1">
      <alignment horizontal="center" vertical="center"/>
    </xf>
    <xf numFmtId="0" fontId="3" fillId="3" borderId="29" xfId="0" applyFont="1" applyFill="1" applyBorder="1" applyAlignment="1">
      <alignment horizontal="center" vertical="center"/>
    </xf>
    <xf numFmtId="0" fontId="3" fillId="9" borderId="20" xfId="0" applyFont="1" applyFill="1" applyBorder="1" applyAlignment="1">
      <alignment horizontal="center" vertical="center"/>
    </xf>
    <xf numFmtId="0" fontId="3" fillId="9" borderId="23" xfId="0" applyFont="1" applyFill="1" applyBorder="1" applyAlignment="1">
      <alignment horizontal="center" vertical="center"/>
    </xf>
    <xf numFmtId="0" fontId="3" fillId="9" borderId="21" xfId="0" applyFont="1" applyFill="1" applyBorder="1" applyAlignment="1">
      <alignment horizontal="center" vertical="center"/>
    </xf>
    <xf numFmtId="0" fontId="0" fillId="0" borderId="0" xfId="0" applyFill="1" applyBorder="1" applyAlignment="1"/>
    <xf numFmtId="9" fontId="0" fillId="0" borderId="0" xfId="0" applyNumberFormat="1" applyFill="1" applyBorder="1" applyAlignment="1"/>
    <xf numFmtId="41" fontId="0" fillId="0" borderId="0" xfId="0" applyNumberFormat="1" applyFill="1" applyBorder="1" applyAlignment="1"/>
    <xf numFmtId="41" fontId="0" fillId="0" borderId="1" xfId="0" applyNumberFormat="1" applyFill="1" applyBorder="1" applyAlignment="1"/>
    <xf numFmtId="0" fontId="0" fillId="0" borderId="15" xfId="0" applyFill="1" applyBorder="1" applyAlignment="1"/>
    <xf numFmtId="9" fontId="0" fillId="7" borderId="0" xfId="0" applyNumberFormat="1" applyFill="1" applyBorder="1" applyAlignment="1"/>
    <xf numFmtId="0" fontId="14" fillId="0" borderId="0" xfId="0" applyFont="1" applyFill="1" applyBorder="1" applyAlignment="1">
      <alignment vertical="top" wrapText="1"/>
    </xf>
    <xf numFmtId="43" fontId="7" fillId="0" borderId="0" xfId="0" quotePrefix="1" applyNumberFormat="1" applyFont="1" applyAlignment="1">
      <alignment horizontal="center"/>
    </xf>
    <xf numFmtId="0" fontId="1" fillId="0" borderId="0" xfId="0" applyFont="1"/>
    <xf numFmtId="0" fontId="21" fillId="0" borderId="0" xfId="0" applyFont="1"/>
    <xf numFmtId="0" fontId="3" fillId="0" borderId="0" xfId="0" applyFont="1"/>
    <xf numFmtId="0" fontId="24" fillId="5" borderId="14" xfId="0" applyFont="1" applyFill="1" applyBorder="1" applyAlignment="1">
      <alignment horizontal="left"/>
    </xf>
    <xf numFmtId="0" fontId="24" fillId="5" borderId="6" xfId="0" applyFont="1" applyFill="1" applyBorder="1" applyAlignment="1">
      <alignment horizontal="left"/>
    </xf>
    <xf numFmtId="0" fontId="25" fillId="6" borderId="0" xfId="0" applyFont="1" applyFill="1" applyBorder="1" applyAlignment="1">
      <alignment horizontal="left"/>
    </xf>
    <xf numFmtId="0" fontId="26" fillId="6" borderId="15" xfId="0" applyFont="1" applyFill="1" applyBorder="1" applyAlignment="1">
      <alignment horizontal="left"/>
    </xf>
    <xf numFmtId="0" fontId="25" fillId="6" borderId="1" xfId="0" applyFont="1" applyFill="1" applyBorder="1" applyAlignment="1">
      <alignment horizontal="left"/>
    </xf>
    <xf numFmtId="0" fontId="0" fillId="2" borderId="12" xfId="0" applyFill="1" applyBorder="1" applyAlignment="1">
      <alignment horizontal="center"/>
    </xf>
    <xf numFmtId="0" fontId="0" fillId="2" borderId="13" xfId="0" applyFill="1" applyBorder="1" applyAlignment="1">
      <alignment horizontal="center"/>
    </xf>
    <xf numFmtId="0" fontId="4" fillId="2" borderId="1" xfId="0" quotePrefix="1" applyFont="1" applyFill="1" applyBorder="1" applyAlignment="1">
      <alignment horizontal="center"/>
    </xf>
    <xf numFmtId="0" fontId="4" fillId="2" borderId="1" xfId="0" applyFont="1" applyFill="1" applyBorder="1" applyAlignment="1">
      <alignment horizontal="center"/>
    </xf>
    <xf numFmtId="43" fontId="4" fillId="2" borderId="0" xfId="0" applyNumberFormat="1" applyFont="1" applyFill="1" applyAlignment="1">
      <alignment horizontal="center"/>
    </xf>
    <xf numFmtId="43" fontId="4" fillId="2" borderId="1" xfId="0" quotePrefix="1" applyNumberFormat="1" applyFont="1" applyFill="1" applyBorder="1" applyAlignment="1">
      <alignment horizontal="center"/>
    </xf>
    <xf numFmtId="43" fontId="7" fillId="0" borderId="0" xfId="0" quotePrefix="1" applyNumberFormat="1" applyFont="1" applyAlignment="1">
      <alignment horizontal="center"/>
    </xf>
    <xf numFmtId="43" fontId="4" fillId="2" borderId="2" xfId="0" applyNumberFormat="1" applyFont="1" applyFill="1" applyBorder="1" applyAlignment="1">
      <alignment horizontal="center"/>
    </xf>
    <xf numFmtId="0" fontId="4" fillId="2" borderId="0" xfId="0" applyFont="1" applyFill="1" applyAlignment="1">
      <alignment horizontal="center"/>
    </xf>
    <xf numFmtId="41" fontId="10" fillId="4" borderId="12" xfId="0" applyNumberFormat="1" applyFont="1" applyFill="1" applyBorder="1" applyAlignment="1">
      <alignment horizontal="center" vertical="center"/>
    </xf>
    <xf numFmtId="41" fontId="0" fillId="4" borderId="2" xfId="0" applyNumberFormat="1" applyFill="1" applyBorder="1" applyAlignment="1">
      <alignment horizontal="center" vertical="center"/>
    </xf>
    <xf numFmtId="41" fontId="0" fillId="4" borderId="13" xfId="0" applyNumberFormat="1" applyFill="1" applyBorder="1" applyAlignment="1">
      <alignment horizontal="center" vertical="center"/>
    </xf>
    <xf numFmtId="41" fontId="4" fillId="4" borderId="2" xfId="0" applyNumberFormat="1" applyFont="1" applyFill="1" applyBorder="1" applyAlignment="1">
      <alignment horizontal="center" vertical="center"/>
    </xf>
    <xf numFmtId="44" fontId="0" fillId="0" borderId="0" xfId="0" applyNumberFormat="1" applyAlignment="1">
      <alignment horizontal="right"/>
    </xf>
    <xf numFmtId="0" fontId="19" fillId="0" borderId="2" xfId="0" applyFont="1" applyBorder="1" applyAlignment="1">
      <alignment horizontal="center" vertical="center" wrapText="1"/>
    </xf>
    <xf numFmtId="0" fontId="4" fillId="0" borderId="2" xfId="0" applyFont="1" applyBorder="1" applyAlignment="1">
      <alignment horizontal="center" vertical="center" wrapText="1"/>
    </xf>
  </cellXfs>
  <cellStyles count="6">
    <cellStyle name="Comma" xfId="1" builtinId="3"/>
    <cellStyle name="Comma 3" xfId="5" xr:uid="{00000000-0005-0000-0000-000001000000}"/>
    <cellStyle name="Currency" xfId="2" builtinId="4"/>
    <cellStyle name="Normal" xfId="0" builtinId="0"/>
    <cellStyle name="Normal 3" xfId="4" xr:uid="{00000000-0005-0000-0000-000004000000}"/>
    <cellStyle name="Percent" xfId="3" builtinId="5"/>
  </cellStyles>
  <dxfs count="1">
    <dxf>
      <font>
        <color rgb="FF9C0006"/>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Marketable</a:t>
            </a:r>
            <a:r>
              <a:rPr lang="en-US" baseline="0"/>
              <a:t> Securities</a:t>
            </a:r>
            <a:br>
              <a:rPr lang="en-US" baseline="0"/>
            </a:br>
            <a:r>
              <a:rPr lang="en-US" baseline="0"/>
              <a:t>and Short Term Loan Balances</a:t>
            </a:r>
          </a:p>
          <a:p>
            <a:pPr>
              <a:defRPr/>
            </a:pPr>
            <a:r>
              <a:rPr lang="en-US" sz="1800" b="0" i="0" u="none" strike="noStrike" baseline="0">
                <a:effectLst/>
              </a:rPr>
              <a:t>               </a:t>
            </a:r>
            <a:endParaRPr lang="en-US"/>
          </a:p>
        </c:rich>
      </c:tx>
      <c:overlay val="0"/>
    </c:title>
    <c:autoTitleDeleted val="0"/>
    <c:plotArea>
      <c:layout>
        <c:manualLayout>
          <c:layoutTarget val="inner"/>
          <c:xMode val="edge"/>
          <c:yMode val="edge"/>
          <c:x val="0.10050572326059824"/>
          <c:y val="0.18317318558609186"/>
          <c:w val="0.87816611386979437"/>
          <c:h val="0.70764005546630182"/>
        </c:manualLayout>
      </c:layout>
      <c:barChart>
        <c:barDir val="col"/>
        <c:grouping val="clustered"/>
        <c:varyColors val="0"/>
        <c:ser>
          <c:idx val="0"/>
          <c:order val="0"/>
          <c:tx>
            <c:strRef>
              <c:f>'Prob 3 - 10 Pts'!$J$6</c:f>
              <c:strCache>
                <c:ptCount val="1"/>
                <c:pt idx="0">
                  <c:v>Short-Term Loans</c:v>
                </c:pt>
              </c:strCache>
            </c:strRef>
          </c:tx>
          <c:invertIfNegative val="0"/>
          <c:cat>
            <c:strRef>
              <c:f>'Prob 3 - 10 Pts'!$K$5:$S$5</c:f>
              <c:strCache>
                <c:ptCount val="9"/>
                <c:pt idx="0">
                  <c:v>APR</c:v>
                </c:pt>
                <c:pt idx="1">
                  <c:v>MAY</c:v>
                </c:pt>
                <c:pt idx="2">
                  <c:v>JUN</c:v>
                </c:pt>
                <c:pt idx="3">
                  <c:v>JUL</c:v>
                </c:pt>
                <c:pt idx="4">
                  <c:v>AUG</c:v>
                </c:pt>
                <c:pt idx="5">
                  <c:v>SEP</c:v>
                </c:pt>
                <c:pt idx="6">
                  <c:v>OCT</c:v>
                </c:pt>
                <c:pt idx="7">
                  <c:v>NOV</c:v>
                </c:pt>
                <c:pt idx="8">
                  <c:v>DEC</c:v>
                </c:pt>
              </c:strCache>
            </c:strRef>
          </c:cat>
          <c:val>
            <c:numRef>
              <c:f>'Prob 3 - 10 Pts'!$K$6:$S$6</c:f>
              <c:numCache>
                <c:formatCode>_(* #,##0_);_(* \(#,##0\);_(* "-"_);_(@_)</c:formatCode>
                <c:ptCount val="9"/>
                <c:pt idx="0">
                  <c:v>0</c:v>
                </c:pt>
                <c:pt idx="1">
                  <c:v>0</c:v>
                </c:pt>
                <c:pt idx="2">
                  <c:v>0</c:v>
                </c:pt>
                <c:pt idx="3">
                  <c:v>-214373.5</c:v>
                </c:pt>
                <c:pt idx="4">
                  <c:v>-212055.5</c:v>
                </c:pt>
                <c:pt idx="5">
                  <c:v>-210586</c:v>
                </c:pt>
                <c:pt idx="6">
                  <c:v>-210515.5</c:v>
                </c:pt>
                <c:pt idx="7">
                  <c:v>-206675</c:v>
                </c:pt>
                <c:pt idx="8">
                  <c:v>-201008</c:v>
                </c:pt>
              </c:numCache>
            </c:numRef>
          </c:val>
          <c:extLst>
            <c:ext xmlns:c16="http://schemas.microsoft.com/office/drawing/2014/chart" uri="{C3380CC4-5D6E-409C-BE32-E72D297353CC}">
              <c16:uniqueId val="{00000000-EA89-4066-B625-BA873E628E05}"/>
            </c:ext>
          </c:extLst>
        </c:ser>
        <c:ser>
          <c:idx val="1"/>
          <c:order val="1"/>
          <c:tx>
            <c:strRef>
              <c:f>'Prob 3 - 10 Pts'!$J$7</c:f>
              <c:strCache>
                <c:ptCount val="1"/>
                <c:pt idx="0">
                  <c:v>Mkt'l Securities</c:v>
                </c:pt>
              </c:strCache>
            </c:strRef>
          </c:tx>
          <c:invertIfNegative val="0"/>
          <c:cat>
            <c:strRef>
              <c:f>'Prob 3 - 10 Pts'!$K$5:$S$5</c:f>
              <c:strCache>
                <c:ptCount val="9"/>
                <c:pt idx="0">
                  <c:v>APR</c:v>
                </c:pt>
                <c:pt idx="1">
                  <c:v>MAY</c:v>
                </c:pt>
                <c:pt idx="2">
                  <c:v>JUN</c:v>
                </c:pt>
                <c:pt idx="3">
                  <c:v>JUL</c:v>
                </c:pt>
                <c:pt idx="4">
                  <c:v>AUG</c:v>
                </c:pt>
                <c:pt idx="5">
                  <c:v>SEP</c:v>
                </c:pt>
                <c:pt idx="6">
                  <c:v>OCT</c:v>
                </c:pt>
                <c:pt idx="7">
                  <c:v>NOV</c:v>
                </c:pt>
                <c:pt idx="8">
                  <c:v>DEC</c:v>
                </c:pt>
              </c:strCache>
            </c:strRef>
          </c:cat>
          <c:val>
            <c:numRef>
              <c:f>'Prob 3 - 10 Pts'!$K$7:$S$7</c:f>
              <c:numCache>
                <c:formatCode>_(* #,##0_);_(* \(#,##0\);_(* "-"_);_(@_)</c:formatCode>
                <c:ptCount val="9"/>
                <c:pt idx="0">
                  <c:v>4140</c:v>
                </c:pt>
                <c:pt idx="1">
                  <c:v>6355</c:v>
                </c:pt>
                <c:pt idx="2">
                  <c:v>9921.5</c:v>
                </c:pt>
                <c:pt idx="3">
                  <c:v>0</c:v>
                </c:pt>
                <c:pt idx="4">
                  <c:v>0</c:v>
                </c:pt>
                <c:pt idx="5">
                  <c:v>0</c:v>
                </c:pt>
                <c:pt idx="6">
                  <c:v>0</c:v>
                </c:pt>
                <c:pt idx="7">
                  <c:v>0</c:v>
                </c:pt>
                <c:pt idx="8">
                  <c:v>0</c:v>
                </c:pt>
              </c:numCache>
            </c:numRef>
          </c:val>
          <c:extLst>
            <c:ext xmlns:c16="http://schemas.microsoft.com/office/drawing/2014/chart" uri="{C3380CC4-5D6E-409C-BE32-E72D297353CC}">
              <c16:uniqueId val="{00000001-EA89-4066-B625-BA873E628E05}"/>
            </c:ext>
          </c:extLst>
        </c:ser>
        <c:dLbls>
          <c:showLegendKey val="0"/>
          <c:showVal val="0"/>
          <c:showCatName val="0"/>
          <c:showSerName val="0"/>
          <c:showPercent val="0"/>
          <c:showBubbleSize val="0"/>
        </c:dLbls>
        <c:gapWidth val="150"/>
        <c:axId val="1317622512"/>
        <c:axId val="1317610000"/>
      </c:barChart>
      <c:catAx>
        <c:axId val="1317622512"/>
        <c:scaling>
          <c:orientation val="minMax"/>
        </c:scaling>
        <c:delete val="0"/>
        <c:axPos val="b"/>
        <c:numFmt formatCode="General" sourceLinked="0"/>
        <c:majorTickMark val="none"/>
        <c:minorTickMark val="none"/>
        <c:tickLblPos val="nextTo"/>
        <c:txPr>
          <a:bodyPr/>
          <a:lstStyle/>
          <a:p>
            <a:pPr>
              <a:defRPr b="1"/>
            </a:pPr>
            <a:endParaRPr lang="en-US"/>
          </a:p>
        </c:txPr>
        <c:crossAx val="1317610000"/>
        <c:crosses val="autoZero"/>
        <c:auto val="1"/>
        <c:lblAlgn val="ctr"/>
        <c:lblOffset val="100"/>
        <c:noMultiLvlLbl val="0"/>
      </c:catAx>
      <c:valAx>
        <c:axId val="1317610000"/>
        <c:scaling>
          <c:orientation val="minMax"/>
          <c:max val="50000"/>
          <c:min val="-250000"/>
        </c:scaling>
        <c:delete val="0"/>
        <c:axPos val="l"/>
        <c:majorGridlines/>
        <c:numFmt formatCode="&quot;$&quot;#,##0" sourceLinked="0"/>
        <c:majorTickMark val="none"/>
        <c:minorTickMark val="none"/>
        <c:tickLblPos val="nextTo"/>
        <c:txPr>
          <a:bodyPr/>
          <a:lstStyle/>
          <a:p>
            <a:pPr>
              <a:defRPr b="1"/>
            </a:pPr>
            <a:endParaRPr lang="en-US"/>
          </a:p>
        </c:txPr>
        <c:crossAx val="1317622512"/>
        <c:crosses val="autoZero"/>
        <c:crossBetween val="between"/>
        <c:majorUnit val="25000"/>
        <c:minorUnit val="5000"/>
      </c:val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200025</xdr:colOff>
      <xdr:row>1</xdr:row>
      <xdr:rowOff>285751</xdr:rowOff>
    </xdr:from>
    <xdr:to>
      <xdr:col>6</xdr:col>
      <xdr:colOff>581025</xdr:colOff>
      <xdr:row>9</xdr:row>
      <xdr:rowOff>114300</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4352925" y="485776"/>
          <a:ext cx="2171700" cy="151447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4</xdr:col>
      <xdr:colOff>409575</xdr:colOff>
      <xdr:row>2</xdr:row>
      <xdr:rowOff>114301</xdr:rowOff>
    </xdr:from>
    <xdr:to>
      <xdr:col>6</xdr:col>
      <xdr:colOff>361950</xdr:colOff>
      <xdr:row>9</xdr:row>
      <xdr:rowOff>66675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562475" y="619126"/>
          <a:ext cx="1743075" cy="1333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400"/>
            <a:t>Note that</a:t>
          </a:r>
          <a:r>
            <a:rPr lang="en-US" sz="1400" baseline="0"/>
            <a:t> the inputs are in dollars but the statements below are in thousands of dollars.</a:t>
          </a:r>
          <a:endParaRPr lang="en-US" sz="1400"/>
        </a:p>
      </xdr:txBody>
    </xdr:sp>
    <xdr:clientData/>
  </xdr:twoCellAnchor>
  <xdr:twoCellAnchor>
    <xdr:from>
      <xdr:col>5</xdr:col>
      <xdr:colOff>50936</xdr:colOff>
      <xdr:row>71</xdr:row>
      <xdr:rowOff>211621</xdr:rowOff>
    </xdr:from>
    <xdr:to>
      <xdr:col>8</xdr:col>
      <xdr:colOff>179317</xdr:colOff>
      <xdr:row>89</xdr:row>
      <xdr:rowOff>66675</xdr:rowOff>
    </xdr:to>
    <xdr:sp macro="" textlink="">
      <xdr:nvSpPr>
        <xdr:cNvPr id="4" name="Rounded Rectangle 3">
          <a:extLst>
            <a:ext uri="{FF2B5EF4-FFF2-40B4-BE49-F238E27FC236}">
              <a16:creationId xmlns:a16="http://schemas.microsoft.com/office/drawing/2014/main" id="{00000000-0008-0000-0100-000004000000}"/>
            </a:ext>
          </a:extLst>
        </xdr:cNvPr>
        <xdr:cNvSpPr/>
      </xdr:nvSpPr>
      <xdr:spPr>
        <a:xfrm>
          <a:off x="5137286" y="14575321"/>
          <a:ext cx="2109581" cy="337930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en-US" sz="1600" b="1"/>
            <a:t>Create formulas only</a:t>
          </a:r>
          <a:r>
            <a:rPr lang="en-US" sz="1600" b="1" baseline="0"/>
            <a:t> in the YELLOW cells.  The resulting values need to have the proper sign for any input values. </a:t>
          </a:r>
          <a:r>
            <a:rPr lang="en-US" sz="1100" b="0" i="0" u="none" strike="noStrike">
              <a:solidFill>
                <a:schemeClr val="dk1"/>
              </a:solidFill>
              <a:latin typeface="+mn-lt"/>
              <a:ea typeface="+mn-ea"/>
              <a:cs typeface="+mn-cs"/>
            </a:rPr>
            <a:t> </a:t>
          </a:r>
          <a:r>
            <a:rPr lang="en-US" sz="1600"/>
            <a:t> </a:t>
          </a:r>
        </a:p>
        <a:p>
          <a:pPr algn="ctr"/>
          <a:endParaRPr lang="en-US" sz="1600" b="1"/>
        </a:p>
        <a:p>
          <a:pPr algn="ctr"/>
          <a:r>
            <a:rPr lang="en-US" sz="2000" b="1"/>
            <a:t>- = USE</a:t>
          </a:r>
        </a:p>
        <a:p>
          <a:pPr algn="ctr"/>
          <a:endParaRPr lang="en-US" sz="2000" b="1"/>
        </a:p>
        <a:p>
          <a:pPr algn="ctr"/>
          <a:r>
            <a:rPr lang="en-US" sz="2000" b="1"/>
            <a:t>+</a:t>
          </a:r>
          <a:r>
            <a:rPr lang="en-US" sz="2000" b="1" baseline="0"/>
            <a:t> = SOURCE</a:t>
          </a:r>
          <a:endParaRPr lang="en-US" sz="1600" b="1"/>
        </a:p>
      </xdr:txBody>
    </xdr:sp>
    <xdr:clientData/>
  </xdr:twoCellAnchor>
  <xdr:twoCellAnchor>
    <xdr:from>
      <xdr:col>4</xdr:col>
      <xdr:colOff>828676</xdr:colOff>
      <xdr:row>9</xdr:row>
      <xdr:rowOff>180975</xdr:rowOff>
    </xdr:from>
    <xdr:to>
      <xdr:col>7</xdr:col>
      <xdr:colOff>161925</xdr:colOff>
      <xdr:row>13</xdr:row>
      <xdr:rowOff>66675</xdr:rowOff>
    </xdr:to>
    <xdr:sp macro="" textlink="">
      <xdr:nvSpPr>
        <xdr:cNvPr id="6" name="Right Arrow 5">
          <a:extLst>
            <a:ext uri="{FF2B5EF4-FFF2-40B4-BE49-F238E27FC236}">
              <a16:creationId xmlns:a16="http://schemas.microsoft.com/office/drawing/2014/main" id="{00000000-0008-0000-0100-000006000000}"/>
            </a:ext>
          </a:extLst>
        </xdr:cNvPr>
        <xdr:cNvSpPr/>
      </xdr:nvSpPr>
      <xdr:spPr>
        <a:xfrm>
          <a:off x="4981576" y="2066925"/>
          <a:ext cx="1981199" cy="657225"/>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en-US" sz="1800" b="1" cap="none" spc="0">
              <a:ln w="12700">
                <a:solidFill>
                  <a:schemeClr val="tx2">
                    <a:satMod val="155000"/>
                  </a:schemeClr>
                </a:solidFill>
                <a:prstDash val="solid"/>
              </a:ln>
              <a:solidFill>
                <a:schemeClr val="bg2">
                  <a:tint val="85000"/>
                  <a:satMod val="155000"/>
                </a:schemeClr>
              </a:solidFill>
              <a:effectLst/>
            </a:rPr>
            <a:t>Instructions</a:t>
          </a:r>
          <a:endParaRPr lang="en-US" sz="1100">
            <a:effectLst/>
          </a:endParaRPr>
        </a:p>
      </xdr:txBody>
    </xdr:sp>
    <xdr:clientData/>
  </xdr:twoCellAnchor>
  <xdr:twoCellAnchor>
    <xdr:from>
      <xdr:col>9</xdr:col>
      <xdr:colOff>161738</xdr:colOff>
      <xdr:row>41</xdr:row>
      <xdr:rowOff>176305</xdr:rowOff>
    </xdr:from>
    <xdr:to>
      <xdr:col>10</xdr:col>
      <xdr:colOff>4495613</xdr:colOff>
      <xdr:row>52</xdr:row>
      <xdr:rowOff>123825</xdr:rowOff>
    </xdr:to>
    <xdr:sp macro="" textlink="">
      <xdr:nvSpPr>
        <xdr:cNvPr id="8" name="Rounded Rectangle 7">
          <a:extLst>
            <a:ext uri="{FF2B5EF4-FFF2-40B4-BE49-F238E27FC236}">
              <a16:creationId xmlns:a16="http://schemas.microsoft.com/office/drawing/2014/main" id="{00000000-0008-0000-0100-000008000000}"/>
            </a:ext>
          </a:extLst>
        </xdr:cNvPr>
        <xdr:cNvSpPr/>
      </xdr:nvSpPr>
      <xdr:spPr>
        <a:xfrm>
          <a:off x="7219763" y="8301130"/>
          <a:ext cx="4572000" cy="2176370"/>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w="18415" cmpd="sng">
                <a:solidFill>
                  <a:prstClr val="white"/>
                </a:solidFill>
                <a:prstDash val="solid"/>
              </a:ln>
              <a:noFill/>
              <a:effectLst>
                <a:outerShdw blurRad="63500" dir="3600000" algn="tl" rotWithShape="0">
                  <a:srgbClr val="000000">
                    <a:alpha val="70000"/>
                  </a:srgbClr>
                </a:outerShdw>
              </a:effectLst>
              <a:uLnTx/>
              <a:uFillTx/>
              <a:latin typeface="+mn-lt"/>
              <a:ea typeface="+mn-ea"/>
              <a:cs typeface="+mn-cs"/>
            </a:rPr>
            <a:t>Create a formula in Cell D44 (Cash for 2020) that will adjust in value so as to make the balance sheet balance regardless of how the inputs are set.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1</xdr:row>
      <xdr:rowOff>12700</xdr:rowOff>
    </xdr:from>
    <xdr:to>
      <xdr:col>13</xdr:col>
      <xdr:colOff>438150</xdr:colOff>
      <xdr:row>18</xdr:row>
      <xdr:rowOff>38100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57200" y="196850"/>
          <a:ext cx="9626600" cy="3155950"/>
        </a:xfrm>
        <a:prstGeom prst="rect">
          <a:avLst/>
        </a:prstGeom>
        <a:solidFill>
          <a:schemeClr val="bg1"/>
        </a:solidFill>
        <a:ln w="28575" cmpd="thinThick">
          <a:solidFill>
            <a:schemeClr val="tx2"/>
          </a:solidFill>
        </a:ln>
        <a:effectLst>
          <a:innerShdw blurRad="63500" dist="152400" dir="2700000">
            <a:prstClr val="black">
              <a:alpha val="50000"/>
            </a:prstClr>
          </a:innerShdw>
        </a:effectLst>
        <a:scene3d>
          <a:camera prst="orthographicFront"/>
          <a:lightRig rig="threePt" dir="t"/>
        </a:scene3d>
        <a:sp3d prstMaterial="matte"/>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b="1">
              <a:solidFill>
                <a:schemeClr val="dk1"/>
              </a:solidFill>
              <a:latin typeface="+mn-lt"/>
              <a:ea typeface="+mn-ea"/>
              <a:cs typeface="+mn-cs"/>
            </a:rPr>
            <a:t>You are given the data for a company for 12 months. The company uses short-term loans and marketable securities investments to bring the cash balance</a:t>
          </a:r>
          <a:r>
            <a:rPr lang="en-US" sz="1200" b="1" baseline="0">
              <a:solidFill>
                <a:schemeClr val="dk1"/>
              </a:solidFill>
              <a:latin typeface="+mn-lt"/>
              <a:ea typeface="+mn-ea"/>
              <a:cs typeface="+mn-cs"/>
            </a:rPr>
            <a:t> to the desired level </a:t>
          </a:r>
          <a:r>
            <a:rPr lang="en-US" sz="1200" b="1">
              <a:solidFill>
                <a:schemeClr val="dk1"/>
              </a:solidFill>
              <a:latin typeface="+mn-lt"/>
              <a:ea typeface="+mn-ea"/>
              <a:cs typeface="+mn-cs"/>
            </a:rPr>
            <a:t>at the end of each month. Short-term loans will be paid down or paid off with any excess balances and marketable securities will be used only when the loan balance is zero. Marketable securities will be sold first to supply any needed cash infusions before loans are used. The company had no marketable securities and no short-term loans at the beginning of</a:t>
          </a:r>
          <a:r>
            <a:rPr lang="en-US" sz="1200" b="1" baseline="0">
              <a:solidFill>
                <a:schemeClr val="dk1"/>
              </a:solidFill>
              <a:latin typeface="+mn-lt"/>
              <a:ea typeface="+mn-ea"/>
              <a:cs typeface="+mn-cs"/>
            </a:rPr>
            <a:t> January. </a:t>
          </a:r>
        </a:p>
        <a:p>
          <a:endParaRPr lang="en-US" sz="1200" b="1" baseline="0">
            <a:solidFill>
              <a:schemeClr val="dk1"/>
            </a:solidFill>
            <a:latin typeface="+mn-lt"/>
            <a:ea typeface="+mn-ea"/>
            <a:cs typeface="+mn-cs"/>
          </a:endParaRPr>
        </a:p>
        <a:p>
          <a:r>
            <a:rPr lang="en-US" sz="1200" b="1" baseline="0">
              <a:solidFill>
                <a:schemeClr val="dk1"/>
              </a:solidFill>
              <a:latin typeface="+mn-lt"/>
              <a:ea typeface="+mn-ea"/>
              <a:cs typeface="+mn-cs"/>
            </a:rPr>
            <a:t>The company expects to make an outlay for new capital equipment in May, June, July, or August. Create a drop-down list in Cell L24 for the user to select the month of the outlay. Use this and other input information to </a:t>
          </a:r>
          <a:r>
            <a:rPr lang="en-US" sz="1200" b="1">
              <a:solidFill>
                <a:schemeClr val="dk1"/>
              </a:solidFill>
              <a:latin typeface="+mn-lt"/>
              <a:ea typeface="+mn-ea"/>
              <a:cs typeface="+mn-cs"/>
            </a:rPr>
            <a:t>complete the Cash Budget.</a:t>
          </a:r>
          <a:r>
            <a:rPr lang="en-US" sz="1200" b="1" baseline="0">
              <a:solidFill>
                <a:schemeClr val="dk1"/>
              </a:solidFill>
              <a:latin typeface="+mn-lt"/>
              <a:ea typeface="+mn-ea"/>
              <a:cs typeface="+mn-cs"/>
            </a:rPr>
            <a:t> Then complete the section that gives </a:t>
          </a:r>
          <a:r>
            <a:rPr lang="en-US" sz="1200" b="1">
              <a:solidFill>
                <a:schemeClr val="dk1"/>
              </a:solidFill>
              <a:latin typeface="+mn-lt"/>
              <a:ea typeface="+mn-ea"/>
              <a:cs typeface="+mn-cs"/>
            </a:rPr>
            <a:t>the balance of short-term loans at the end of each month</a:t>
          </a:r>
          <a:r>
            <a:rPr lang="en-US" sz="1200" b="1" baseline="0">
              <a:solidFill>
                <a:schemeClr val="dk1"/>
              </a:solidFill>
              <a:latin typeface="+mn-lt"/>
              <a:ea typeface="+mn-ea"/>
              <a:cs typeface="+mn-cs"/>
            </a:rPr>
            <a:t> in Row 52 and the </a:t>
          </a:r>
          <a:r>
            <a:rPr lang="en-US" sz="1200" b="1">
              <a:solidFill>
                <a:schemeClr val="dk1"/>
              </a:solidFill>
              <a:latin typeface="+mn-lt"/>
              <a:ea typeface="+mn-ea"/>
              <a:cs typeface="+mn-cs"/>
            </a:rPr>
            <a:t>balance of marketable securities at the end of each month in Row 53. The formulas should show positive balances when marketable securities are being used, and it should show zero when marketable securities are not being used.</a:t>
          </a:r>
        </a:p>
        <a:p>
          <a:endParaRPr lang="en-US" sz="1200" b="1">
            <a:solidFill>
              <a:schemeClr val="dk1"/>
            </a:solidFill>
            <a:latin typeface="+mn-lt"/>
            <a:ea typeface="+mn-ea"/>
            <a:cs typeface="+mn-cs"/>
          </a:endParaRPr>
        </a:p>
        <a:p>
          <a:r>
            <a:rPr lang="en-US" sz="1200" b="1">
              <a:solidFill>
                <a:schemeClr val="dk1"/>
              </a:solidFill>
              <a:latin typeface="+mn-lt"/>
              <a:ea typeface="+mn-ea"/>
              <a:cs typeface="+mn-cs"/>
            </a:rPr>
            <a:t>Format the range F43:N43 (net cash</a:t>
          </a:r>
          <a:r>
            <a:rPr lang="en-US" sz="1200" b="1" baseline="0">
              <a:solidFill>
                <a:schemeClr val="dk1"/>
              </a:solidFill>
              <a:latin typeface="+mn-lt"/>
              <a:ea typeface="+mn-ea"/>
              <a:cs typeface="+mn-cs"/>
            </a:rPr>
            <a:t> flow)</a:t>
          </a:r>
          <a:r>
            <a:rPr lang="en-US" sz="1200" b="1">
              <a:solidFill>
                <a:schemeClr val="dk1"/>
              </a:solidFill>
              <a:latin typeface="+mn-lt"/>
              <a:ea typeface="+mn-ea"/>
              <a:cs typeface="+mn-cs"/>
            </a:rPr>
            <a:t> so that all values less than zero display as red numbers instead of black numbers</a:t>
          </a:r>
          <a:r>
            <a:rPr lang="en-US" sz="1200" b="1" baseline="0">
              <a:solidFill>
                <a:schemeClr val="dk1"/>
              </a:solidFill>
              <a:latin typeface="+mn-lt"/>
              <a:ea typeface="+mn-ea"/>
              <a:cs typeface="+mn-cs"/>
            </a:rPr>
            <a:t> for any values of the inputs.</a:t>
          </a:r>
        </a:p>
        <a:p>
          <a:endParaRPr lang="en-US" sz="1200" b="1">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Name the input cells for collections</a:t>
          </a:r>
          <a:r>
            <a:rPr lang="en-US" sz="1100" b="1" baseline="0">
              <a:solidFill>
                <a:schemeClr val="dk1"/>
              </a:solidFill>
              <a:effectLst/>
              <a:latin typeface="+mn-lt"/>
              <a:ea typeface="+mn-ea"/>
              <a:cs typeface="+mn-cs"/>
            </a:rPr>
            <a:t> Collect0, Collect1, and Collect 2. Then cre</a:t>
          </a:r>
          <a:r>
            <a:rPr lang="en-US" sz="1100" b="1">
              <a:solidFill>
                <a:schemeClr val="dk1"/>
              </a:solidFill>
              <a:effectLst/>
              <a:latin typeface="+mn-lt"/>
              <a:ea typeface="+mn-ea"/>
              <a:cs typeface="+mn-cs"/>
            </a:rPr>
            <a:t>ate</a:t>
          </a:r>
          <a:r>
            <a:rPr lang="en-US" sz="1100" b="1" baseline="0">
              <a:solidFill>
                <a:schemeClr val="dk1"/>
              </a:solidFill>
              <a:effectLst/>
              <a:latin typeface="+mn-lt"/>
              <a:ea typeface="+mn-ea"/>
              <a:cs typeface="+mn-cs"/>
            </a:rPr>
            <a:t> and save three scenarios using the Scenario Manager that show the company's monthly net cash flow for April - December while changing the collection rates. The GOOD scenario will use Collect0 = 30%, Collect1 = 60%, and Collect2 = 10%, the NORMAL scenario will use the base case collection rates given here, and the BAD scenario will use Collect0 = 10%, Collect1 = 65%, and Collect2 = 25% . Save a summary of the scenarios on a separate tabbed page. </a:t>
          </a:r>
          <a:endParaRPr lang="en-US">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393700</xdr:colOff>
      <xdr:row>0</xdr:row>
      <xdr:rowOff>171450</xdr:rowOff>
    </xdr:from>
    <xdr:to>
      <xdr:col>8</xdr:col>
      <xdr:colOff>571500</xdr:colOff>
      <xdr:row>11</xdr:row>
      <xdr:rowOff>44450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393700" y="171450"/>
          <a:ext cx="5054600" cy="18986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en-US" sz="1100">
              <a:solidFill>
                <a:schemeClr val="dk1"/>
              </a:solidFill>
              <a:effectLst/>
              <a:latin typeface="+mn-lt"/>
              <a:ea typeface="+mn-ea"/>
              <a:cs typeface="+mn-cs"/>
            </a:rPr>
            <a:t>Using the outputs</a:t>
          </a:r>
          <a:r>
            <a:rPr lang="en-US" sz="1100" baseline="0">
              <a:solidFill>
                <a:schemeClr val="dk1"/>
              </a:solidFill>
              <a:effectLst/>
              <a:latin typeface="+mn-lt"/>
              <a:ea typeface="+mn-ea"/>
              <a:cs typeface="+mn-cs"/>
            </a:rPr>
            <a:t> of the cash budget on the previous page, create a verticle column chart on this page that shows the balances of outstanding short term loans and marketable securities by month for April - December.  These are two separate data series. Short term loan balances should display BELOW the zero line (as negative values) and marketable securities balances should diplay above the zero line (as positive values). Set the Y-axis maximum to $50,000 and the minimum to -$250,000 with major unit divisions set to $25,000. FORMAT the chart so that it is self-explanatory and professional and appropriatel in appearance (which includes dollar signs on dollars). Include a legend for the two series that displays at the bottom of the chart.</a:t>
          </a:r>
          <a:endParaRPr lang="en-US">
            <a:effectLst/>
          </a:endParaRPr>
        </a:p>
        <a:p>
          <a:endParaRPr lang="en-US" sz="1100"/>
        </a:p>
      </xdr:txBody>
    </xdr:sp>
    <xdr:clientData/>
  </xdr:twoCellAnchor>
  <xdr:twoCellAnchor>
    <xdr:from>
      <xdr:col>0</xdr:col>
      <xdr:colOff>447674</xdr:colOff>
      <xdr:row>12</xdr:row>
      <xdr:rowOff>104774</xdr:rowOff>
    </xdr:from>
    <xdr:to>
      <xdr:col>10</xdr:col>
      <xdr:colOff>304799</xdr:colOff>
      <xdr:row>34</xdr:row>
      <xdr:rowOff>146049</xdr:rowOff>
    </xdr:to>
    <xdr:graphicFrame macro="">
      <xdr:nvGraphicFramePr>
        <xdr:cNvPr id="4" name="Chart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371476</xdr:colOff>
      <xdr:row>0</xdr:row>
      <xdr:rowOff>171450</xdr:rowOff>
    </xdr:from>
    <xdr:to>
      <xdr:col>5</xdr:col>
      <xdr:colOff>390526</xdr:colOff>
      <xdr:row>4</xdr:row>
      <xdr:rowOff>76200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371476" y="171450"/>
          <a:ext cx="4038600" cy="1571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200"/>
            <a:t>The table below lists the</a:t>
          </a:r>
          <a:r>
            <a:rPr lang="en-US" sz="1200" baseline="0"/>
            <a:t> year-end price of XYZ Co. stock since 2004. Compute the annual rate of return for the stock in the third column of the table. Also create whatever forumlas are necessary to compute the geometric mean of the annual rates of return. Put your final answer in the yellow cell below the table. Be sure to label any intermediate calculations for partial credit. </a:t>
          </a:r>
          <a:endParaRPr lang="en-US" sz="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264459</xdr:colOff>
      <xdr:row>1</xdr:row>
      <xdr:rowOff>22412</xdr:rowOff>
    </xdr:from>
    <xdr:to>
      <xdr:col>16</xdr:col>
      <xdr:colOff>614082</xdr:colOff>
      <xdr:row>2</xdr:row>
      <xdr:rowOff>44824</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264459" y="206188"/>
          <a:ext cx="8915399" cy="17929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u="sng"/>
            <a:t>Multiple Choice</a:t>
          </a:r>
          <a:r>
            <a:rPr lang="en-US" sz="1800" b="1" u="sng" baseline="0"/>
            <a:t> and True/False Questions</a:t>
          </a:r>
          <a:endParaRPr lang="en-US" sz="1800" b="1" u="sng"/>
        </a:p>
        <a:p>
          <a:pPr algn="ctr"/>
          <a:endParaRPr lang="en-US" sz="1600" b="1"/>
        </a:p>
        <a:p>
          <a:pPr algn="ctr"/>
          <a:r>
            <a:rPr lang="en-US" sz="1600" b="1"/>
            <a:t>A</a:t>
          </a:r>
          <a:r>
            <a:rPr lang="en-US" sz="1600" b="1" baseline="0"/>
            <a:t> maximum of 20 points are possible in this section. </a:t>
          </a:r>
        </a:p>
        <a:p>
          <a:pPr algn="ctr"/>
          <a:r>
            <a:rPr lang="en-US" sz="1600" b="1" baseline="0"/>
            <a:t>2 points will be subtracted from the 20 points possible for each incorrect or omitted response. </a:t>
          </a:r>
        </a:p>
        <a:p>
          <a:pPr algn="ctr"/>
          <a:endParaRPr lang="en-US" sz="1600" b="1" baseline="0"/>
        </a:p>
        <a:p>
          <a:pPr algn="ctr"/>
          <a:r>
            <a:rPr lang="en-US" sz="1600" b="1" baseline="0"/>
            <a:t>Record your answers in the YELLOW cells.</a:t>
          </a:r>
          <a:endParaRPr lang="en-US" sz="16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51"/>
  <sheetViews>
    <sheetView showGridLines="0" tabSelected="1" zoomScale="115" zoomScaleNormal="115" workbookViewId="0"/>
  </sheetViews>
  <sheetFormatPr defaultRowHeight="15" x14ac:dyDescent="0.25"/>
  <cols>
    <col min="1" max="1" width="3.140625" customWidth="1"/>
    <col min="2" max="2" width="4.5703125" customWidth="1"/>
    <col min="4" max="4" width="24.5703125" customWidth="1"/>
    <col min="6" max="6" width="17.85546875" customWidth="1"/>
  </cols>
  <sheetData>
    <row r="1" spans="2:6" ht="15.75" thickBot="1" x14ac:dyDescent="0.3"/>
    <row r="2" spans="2:6" ht="15.75" thickBot="1" x14ac:dyDescent="0.3">
      <c r="B2" s="131" t="s">
        <v>238</v>
      </c>
      <c r="C2" s="131"/>
      <c r="D2" s="131"/>
      <c r="E2" s="131"/>
      <c r="F2" s="100"/>
    </row>
    <row r="3" spans="2:6" ht="15.75" thickBot="1" x14ac:dyDescent="0.3">
      <c r="B3" s="131"/>
      <c r="C3" s="131"/>
      <c r="D3" s="131"/>
      <c r="E3" s="131"/>
    </row>
    <row r="4" spans="2:6" ht="15.75" thickBot="1" x14ac:dyDescent="0.3">
      <c r="B4" s="131" t="s">
        <v>239</v>
      </c>
      <c r="E4" s="137"/>
      <c r="F4" s="138"/>
    </row>
    <row r="6" spans="2:6" ht="18.75" x14ac:dyDescent="0.3">
      <c r="B6" s="45" t="s">
        <v>110</v>
      </c>
    </row>
    <row r="7" spans="2:6" ht="18.75" x14ac:dyDescent="0.3">
      <c r="B7" s="45" t="s">
        <v>240</v>
      </c>
    </row>
    <row r="8" spans="2:6" ht="18.75" x14ac:dyDescent="0.3">
      <c r="B8" s="45" t="s">
        <v>241</v>
      </c>
    </row>
    <row r="9" spans="2:6" ht="18.75" customHeight="1" x14ac:dyDescent="0.3">
      <c r="B9" s="45" t="s">
        <v>242</v>
      </c>
    </row>
    <row r="10" spans="2:6" ht="18.75" customHeight="1" x14ac:dyDescent="0.3">
      <c r="B10" s="45" t="s">
        <v>243</v>
      </c>
    </row>
    <row r="11" spans="2:6" ht="12" customHeight="1" x14ac:dyDescent="0.3">
      <c r="B11" s="45"/>
    </row>
    <row r="12" spans="2:6" ht="18.75" x14ac:dyDescent="0.3">
      <c r="B12" s="45" t="s">
        <v>244</v>
      </c>
    </row>
    <row r="13" spans="2:6" ht="11.1" customHeight="1" x14ac:dyDescent="0.3">
      <c r="B13" s="45"/>
    </row>
    <row r="14" spans="2:6" ht="18.75" x14ac:dyDescent="0.3">
      <c r="B14" s="45" t="s">
        <v>111</v>
      </c>
    </row>
    <row r="15" spans="2:6" ht="18.75" x14ac:dyDescent="0.3">
      <c r="B15" s="45" t="s">
        <v>123</v>
      </c>
    </row>
    <row r="16" spans="2:6" ht="11.1" customHeight="1" x14ac:dyDescent="0.3">
      <c r="B16" s="45"/>
    </row>
    <row r="17" spans="2:8" ht="18.75" x14ac:dyDescent="0.3">
      <c r="B17" s="45" t="s">
        <v>114</v>
      </c>
    </row>
    <row r="18" spans="2:8" ht="18.75" x14ac:dyDescent="0.3">
      <c r="B18" s="45" t="s">
        <v>115</v>
      </c>
    </row>
    <row r="19" spans="2:8" ht="18.75" x14ac:dyDescent="0.3">
      <c r="B19" s="45" t="s">
        <v>116</v>
      </c>
    </row>
    <row r="20" spans="2:8" ht="14.1" customHeight="1" x14ac:dyDescent="0.3">
      <c r="B20" s="45"/>
    </row>
    <row r="21" spans="2:8" x14ac:dyDescent="0.25">
      <c r="B21" t="s">
        <v>224</v>
      </c>
    </row>
    <row r="22" spans="2:8" ht="8.4499999999999993" customHeight="1" x14ac:dyDescent="0.3">
      <c r="B22" s="45"/>
    </row>
    <row r="23" spans="2:8" x14ac:dyDescent="0.25">
      <c r="B23" t="s">
        <v>112</v>
      </c>
    </row>
    <row r="24" spans="2:8" ht="6" customHeight="1" x14ac:dyDescent="0.25"/>
    <row r="25" spans="2:8" x14ac:dyDescent="0.25">
      <c r="B25" t="s">
        <v>113</v>
      </c>
    </row>
    <row r="27" spans="2:8" x14ac:dyDescent="0.25">
      <c r="B27" t="s">
        <v>124</v>
      </c>
    </row>
    <row r="28" spans="2:8" x14ac:dyDescent="0.25">
      <c r="B28" t="s">
        <v>163</v>
      </c>
    </row>
    <row r="29" spans="2:8" x14ac:dyDescent="0.25">
      <c r="B29" t="s">
        <v>125</v>
      </c>
    </row>
    <row r="30" spans="2:8" ht="15.75" thickBot="1" x14ac:dyDescent="0.3">
      <c r="B30" s="1"/>
      <c r="C30" s="1"/>
      <c r="D30" s="1"/>
      <c r="E30" s="1"/>
      <c r="F30" s="1"/>
      <c r="G30" s="1"/>
      <c r="H30" s="1"/>
    </row>
    <row r="31" spans="2:8" ht="29.25" customHeight="1" x14ac:dyDescent="0.3">
      <c r="B31" s="45" t="s">
        <v>117</v>
      </c>
    </row>
    <row r="32" spans="2:8" ht="8.25" customHeight="1" x14ac:dyDescent="0.25"/>
    <row r="33" spans="2:3" s="129" customFormat="1" ht="23.25" customHeight="1" x14ac:dyDescent="0.45">
      <c r="B33" t="s">
        <v>225</v>
      </c>
      <c r="C33" s="45" t="s">
        <v>226</v>
      </c>
    </row>
    <row r="34" spans="2:3" s="129" customFormat="1" ht="9" customHeight="1" x14ac:dyDescent="0.25">
      <c r="B34"/>
      <c r="C34"/>
    </row>
    <row r="35" spans="2:3" s="129" customFormat="1" ht="18.75" customHeight="1" x14ac:dyDescent="0.25">
      <c r="B35"/>
      <c r="C35" s="130" t="s">
        <v>230</v>
      </c>
    </row>
    <row r="36" spans="2:3" ht="18.75" customHeight="1" x14ac:dyDescent="0.25">
      <c r="B36" t="s">
        <v>225</v>
      </c>
      <c r="C36" t="s">
        <v>231</v>
      </c>
    </row>
    <row r="37" spans="2:3" ht="18.75" customHeight="1" x14ac:dyDescent="0.25">
      <c r="B37" t="s">
        <v>225</v>
      </c>
      <c r="C37" t="s">
        <v>232</v>
      </c>
    </row>
    <row r="38" spans="2:3" ht="18.75" customHeight="1" x14ac:dyDescent="0.25">
      <c r="B38" t="s">
        <v>225</v>
      </c>
      <c r="C38" t="s">
        <v>233</v>
      </c>
    </row>
    <row r="39" spans="2:3" s="129" customFormat="1" ht="9" customHeight="1" x14ac:dyDescent="0.25">
      <c r="B39"/>
      <c r="C39"/>
    </row>
    <row r="40" spans="2:3" s="129" customFormat="1" ht="9" customHeight="1" x14ac:dyDescent="0.25">
      <c r="B40"/>
      <c r="C40"/>
    </row>
    <row r="41" spans="2:3" s="129" customFormat="1" x14ac:dyDescent="0.25">
      <c r="B41"/>
      <c r="C41" s="130" t="s">
        <v>236</v>
      </c>
    </row>
    <row r="42" spans="2:3" s="129" customFormat="1" x14ac:dyDescent="0.25">
      <c r="B42" t="s">
        <v>225</v>
      </c>
      <c r="C42" t="s">
        <v>235</v>
      </c>
    </row>
    <row r="43" spans="2:3" s="129" customFormat="1" x14ac:dyDescent="0.25">
      <c r="B43"/>
      <c r="C43" t="s">
        <v>227</v>
      </c>
    </row>
    <row r="44" spans="2:3" s="129" customFormat="1" x14ac:dyDescent="0.25">
      <c r="B44" t="s">
        <v>225</v>
      </c>
      <c r="C44" t="s">
        <v>228</v>
      </c>
    </row>
    <row r="45" spans="2:3" s="129" customFormat="1" x14ac:dyDescent="0.25">
      <c r="B45" t="s">
        <v>225</v>
      </c>
      <c r="C45" t="s">
        <v>229</v>
      </c>
    </row>
    <row r="46" spans="2:3" s="129" customFormat="1" x14ac:dyDescent="0.25">
      <c r="B46" t="s">
        <v>225</v>
      </c>
      <c r="C46" t="s">
        <v>237</v>
      </c>
    </row>
    <row r="47" spans="2:3" s="129" customFormat="1" x14ac:dyDescent="0.25">
      <c r="B47"/>
      <c r="C47" t="s">
        <v>227</v>
      </c>
    </row>
    <row r="48" spans="2:3" s="129" customFormat="1" x14ac:dyDescent="0.25">
      <c r="B48" t="s">
        <v>225</v>
      </c>
      <c r="C48" t="s">
        <v>228</v>
      </c>
    </row>
    <row r="49" spans="2:3" s="129" customFormat="1" x14ac:dyDescent="0.25">
      <c r="B49" t="s">
        <v>225</v>
      </c>
      <c r="C49" t="s">
        <v>229</v>
      </c>
    </row>
    <row r="51" spans="2:3" s="129" customFormat="1" x14ac:dyDescent="0.25">
      <c r="B51"/>
      <c r="C51" s="130" t="s">
        <v>234</v>
      </c>
    </row>
  </sheetData>
  <mergeCells count="1">
    <mergeCell ref="E4:F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L97"/>
  <sheetViews>
    <sheetView zoomScaleNormal="100" workbookViewId="0">
      <selection activeCell="B32" sqref="B32"/>
    </sheetView>
  </sheetViews>
  <sheetFormatPr defaultRowHeight="15" x14ac:dyDescent="0.25"/>
  <cols>
    <col min="1" max="1" width="2.85546875" customWidth="1"/>
    <col min="2" max="2" width="37.140625" customWidth="1"/>
    <col min="3" max="3" width="5.140625" customWidth="1"/>
    <col min="4" max="4" width="17.140625" customWidth="1"/>
    <col min="5" max="5" width="14" customWidth="1"/>
    <col min="6" max="7" width="12.85546875" customWidth="1"/>
    <col min="8" max="8" width="4" customWidth="1"/>
    <col min="9" max="9" width="3" customWidth="1"/>
    <col min="10" max="10" width="3.5703125" customWidth="1"/>
    <col min="11" max="11" width="76.42578125" customWidth="1"/>
    <col min="12" max="12" width="2.140625" customWidth="1"/>
  </cols>
  <sheetData>
    <row r="1" spans="2:12" ht="15.75" thickBot="1" x14ac:dyDescent="0.3">
      <c r="B1" s="1"/>
      <c r="C1" s="1"/>
      <c r="D1" s="1"/>
    </row>
    <row r="2" spans="2:12" s="2" customFormat="1" ht="24" customHeight="1" thickBot="1" x14ac:dyDescent="0.35">
      <c r="B2" s="144" t="s">
        <v>220</v>
      </c>
      <c r="C2" s="144"/>
      <c r="D2" s="144"/>
      <c r="I2" s="51"/>
      <c r="J2" s="52"/>
      <c r="K2" s="53"/>
      <c r="L2" s="54"/>
    </row>
    <row r="3" spans="2:12" s="2" customFormat="1" ht="18.75" customHeight="1" x14ac:dyDescent="0.25">
      <c r="B3" s="3" t="s">
        <v>0</v>
      </c>
      <c r="C3" s="3"/>
      <c r="D3" s="110">
        <v>0.28000000000000003</v>
      </c>
      <c r="I3" s="55"/>
      <c r="J3" s="56" t="s">
        <v>64</v>
      </c>
      <c r="K3" s="57" t="s">
        <v>217</v>
      </c>
      <c r="L3" s="58"/>
    </row>
    <row r="4" spans="2:12" s="2" customFormat="1" x14ac:dyDescent="0.25">
      <c r="B4" s="3" t="s">
        <v>1</v>
      </c>
      <c r="C4" s="3"/>
      <c r="D4" s="106">
        <v>500000</v>
      </c>
      <c r="I4" s="55"/>
      <c r="J4" s="59"/>
      <c r="K4" s="57" t="s">
        <v>65</v>
      </c>
      <c r="L4" s="58"/>
    </row>
    <row r="5" spans="2:12" s="2" customFormat="1" x14ac:dyDescent="0.25">
      <c r="B5" s="3" t="s">
        <v>12</v>
      </c>
      <c r="C5" s="3"/>
      <c r="D5" s="107">
        <v>6925000</v>
      </c>
      <c r="I5" s="55"/>
      <c r="J5" s="59"/>
      <c r="K5" s="57" t="s">
        <v>218</v>
      </c>
      <c r="L5" s="58"/>
    </row>
    <row r="6" spans="2:12" s="2" customFormat="1" x14ac:dyDescent="0.25">
      <c r="B6" s="3" t="s">
        <v>2</v>
      </c>
      <c r="C6" s="3"/>
      <c r="D6" s="107">
        <v>810000</v>
      </c>
      <c r="I6" s="55"/>
      <c r="J6" s="59"/>
      <c r="K6" s="57" t="s">
        <v>67</v>
      </c>
      <c r="L6" s="58"/>
    </row>
    <row r="7" spans="2:12" s="2" customFormat="1" x14ac:dyDescent="0.25">
      <c r="B7" s="3" t="s">
        <v>4</v>
      </c>
      <c r="C7" s="3"/>
      <c r="D7" s="107">
        <v>625000</v>
      </c>
      <c r="I7" s="55"/>
      <c r="J7" s="57"/>
      <c r="K7" s="57"/>
      <c r="L7" s="58"/>
    </row>
    <row r="8" spans="2:12" s="2" customFormat="1" x14ac:dyDescent="0.25">
      <c r="B8" s="3" t="s">
        <v>5</v>
      </c>
      <c r="C8" s="3"/>
      <c r="D8" s="107">
        <v>135000</v>
      </c>
      <c r="I8" s="55"/>
      <c r="J8" s="56" t="s">
        <v>66</v>
      </c>
      <c r="K8" s="57" t="s">
        <v>219</v>
      </c>
      <c r="L8" s="58"/>
    </row>
    <row r="9" spans="2:12" s="2" customFormat="1" x14ac:dyDescent="0.25">
      <c r="B9" s="3" t="s">
        <v>3</v>
      </c>
      <c r="C9" s="3"/>
      <c r="D9" s="107">
        <v>1162000</v>
      </c>
      <c r="I9" s="55"/>
      <c r="J9" s="59"/>
      <c r="K9" s="57" t="s">
        <v>68</v>
      </c>
      <c r="L9" s="58"/>
    </row>
    <row r="10" spans="2:12" s="2" customFormat="1" x14ac:dyDescent="0.25">
      <c r="B10" s="3" t="s">
        <v>7</v>
      </c>
      <c r="C10" s="3"/>
      <c r="D10" s="107">
        <v>2340000</v>
      </c>
      <c r="I10" s="55"/>
      <c r="J10" s="59"/>
      <c r="K10" s="57"/>
      <c r="L10" s="58"/>
    </row>
    <row r="11" spans="2:12" s="2" customFormat="1" x14ac:dyDescent="0.25">
      <c r="B11" s="3" t="s">
        <v>8</v>
      </c>
      <c r="C11" s="3"/>
      <c r="D11" s="107">
        <v>1326000</v>
      </c>
      <c r="I11" s="55"/>
      <c r="J11" s="56" t="s">
        <v>69</v>
      </c>
      <c r="K11" s="57" t="s">
        <v>70</v>
      </c>
      <c r="L11" s="58"/>
    </row>
    <row r="12" spans="2:12" s="2" customFormat="1" x14ac:dyDescent="0.25">
      <c r="B12" s="3" t="s">
        <v>9</v>
      </c>
      <c r="C12" s="3"/>
      <c r="D12" s="107">
        <v>980000</v>
      </c>
      <c r="I12" s="55"/>
      <c r="J12" s="59"/>
      <c r="K12" s="57" t="s">
        <v>71</v>
      </c>
      <c r="L12" s="58"/>
    </row>
    <row r="13" spans="2:12" s="2" customFormat="1" ht="15.75" thickBot="1" x14ac:dyDescent="0.3">
      <c r="B13" s="3" t="s">
        <v>6</v>
      </c>
      <c r="C13" s="3"/>
      <c r="D13" s="108">
        <v>0.65</v>
      </c>
      <c r="I13" s="60"/>
      <c r="J13" s="63"/>
      <c r="K13" s="62"/>
      <c r="L13" s="61"/>
    </row>
    <row r="14" spans="2:12" s="2" customFormat="1" ht="15.75" thickBot="1" x14ac:dyDescent="0.3">
      <c r="B14" s="5" t="s">
        <v>72</v>
      </c>
      <c r="C14" s="5"/>
      <c r="D14" s="109">
        <v>260000</v>
      </c>
      <c r="I14"/>
      <c r="J14"/>
      <c r="K14"/>
      <c r="L14"/>
    </row>
    <row r="15" spans="2:12" s="2" customFormat="1" ht="17.25" x14ac:dyDescent="0.4">
      <c r="B15" s="6" t="s">
        <v>198</v>
      </c>
      <c r="C15" s="6"/>
      <c r="D15" s="4"/>
      <c r="I15"/>
      <c r="J15"/>
      <c r="K15"/>
      <c r="L15"/>
    </row>
    <row r="16" spans="2:12" ht="15.75" thickBot="1" x14ac:dyDescent="0.3">
      <c r="B16" s="7" t="s">
        <v>221</v>
      </c>
      <c r="C16" s="7"/>
      <c r="D16" s="1"/>
    </row>
    <row r="17" spans="2:8" ht="15.75" thickBot="1" x14ac:dyDescent="0.3">
      <c r="B17" s="1"/>
      <c r="C17" s="1"/>
      <c r="D17" s="1"/>
      <c r="E17" s="1"/>
      <c r="F17" s="1"/>
      <c r="G17" s="1"/>
    </row>
    <row r="18" spans="2:8" ht="21" customHeight="1" x14ac:dyDescent="0.3">
      <c r="B18" s="145" t="s">
        <v>10</v>
      </c>
      <c r="C18" s="145"/>
      <c r="D18" s="145"/>
      <c r="E18" s="145"/>
      <c r="F18" s="145"/>
      <c r="G18" s="145"/>
    </row>
    <row r="19" spans="2:8" ht="21" customHeight="1" x14ac:dyDescent="0.3">
      <c r="B19" s="145" t="s">
        <v>222</v>
      </c>
      <c r="C19" s="145"/>
      <c r="D19" s="145"/>
      <c r="E19" s="145"/>
      <c r="F19" s="145"/>
      <c r="G19" s="145"/>
    </row>
    <row r="20" spans="2:8" ht="21" customHeight="1" thickBot="1" x14ac:dyDescent="0.35">
      <c r="B20" s="139" t="s">
        <v>11</v>
      </c>
      <c r="C20" s="139"/>
      <c r="D20" s="140"/>
      <c r="E20" s="140"/>
      <c r="F20" s="140"/>
      <c r="G20" s="140"/>
    </row>
    <row r="21" spans="2:8" ht="9" customHeight="1" x14ac:dyDescent="0.3">
      <c r="B21" s="8"/>
      <c r="C21" s="8"/>
      <c r="D21" s="8"/>
      <c r="E21" s="8"/>
      <c r="F21" s="8"/>
      <c r="G21" s="8"/>
    </row>
    <row r="22" spans="2:8" ht="17.25" x14ac:dyDescent="0.4">
      <c r="B22" s="2"/>
      <c r="C22" s="2"/>
      <c r="D22" s="128" t="s">
        <v>223</v>
      </c>
      <c r="E22" s="128" t="s">
        <v>197</v>
      </c>
      <c r="F22" s="128" t="s">
        <v>223</v>
      </c>
      <c r="G22" s="128" t="s">
        <v>197</v>
      </c>
    </row>
    <row r="23" spans="2:8" x14ac:dyDescent="0.25">
      <c r="B23" s="2" t="s">
        <v>12</v>
      </c>
      <c r="C23" s="2"/>
      <c r="D23" s="9">
        <f>D5/1000</f>
        <v>6925</v>
      </c>
      <c r="E23" s="9">
        <v>7425</v>
      </c>
      <c r="F23" s="10">
        <f>D23/D$23</f>
        <v>1</v>
      </c>
      <c r="G23" s="10">
        <f>E23/E$23</f>
        <v>1</v>
      </c>
    </row>
    <row r="24" spans="2:8" ht="17.25" x14ac:dyDescent="0.4">
      <c r="B24" s="11" t="s">
        <v>13</v>
      </c>
      <c r="C24" s="11"/>
      <c r="D24" s="11">
        <f>E24/E23*D23</f>
        <v>3320.2693602693603</v>
      </c>
      <c r="E24" s="11">
        <v>3560</v>
      </c>
      <c r="F24" s="10">
        <f t="shared" ref="F24:G33" si="0">D24/D$23</f>
        <v>0.47946127946127948</v>
      </c>
      <c r="G24" s="10">
        <f t="shared" si="0"/>
        <v>0.47946127946127948</v>
      </c>
      <c r="H24" s="12"/>
    </row>
    <row r="25" spans="2:8" x14ac:dyDescent="0.25">
      <c r="B25" s="2" t="s">
        <v>14</v>
      </c>
      <c r="C25" s="2"/>
      <c r="D25" s="9">
        <f>D23-D24</f>
        <v>3604.7306397306397</v>
      </c>
      <c r="E25" s="9">
        <f>E23-E24</f>
        <v>3865</v>
      </c>
      <c r="F25" s="10">
        <f t="shared" si="0"/>
        <v>0.52053872053872052</v>
      </c>
      <c r="G25" s="10">
        <f t="shared" si="0"/>
        <v>0.52053872053872052</v>
      </c>
    </row>
    <row r="26" spans="2:8" x14ac:dyDescent="0.25">
      <c r="B26" s="2" t="s">
        <v>2</v>
      </c>
      <c r="C26" s="2"/>
      <c r="D26" s="2">
        <f>D6/1000</f>
        <v>810</v>
      </c>
      <c r="E26" s="2">
        <v>850</v>
      </c>
      <c r="F26" s="10">
        <f t="shared" si="0"/>
        <v>0.11696750902527075</v>
      </c>
      <c r="G26" s="10">
        <f t="shared" si="0"/>
        <v>0.11447811447811448</v>
      </c>
    </row>
    <row r="27" spans="2:8" x14ac:dyDescent="0.25">
      <c r="B27" s="2" t="s">
        <v>3</v>
      </c>
      <c r="C27" s="2"/>
      <c r="D27" s="2">
        <f>D9/1000</f>
        <v>1162</v>
      </c>
      <c r="E27" s="2">
        <v>1250</v>
      </c>
      <c r="F27" s="10">
        <f t="shared" si="0"/>
        <v>0.16779783393501804</v>
      </c>
      <c r="G27" s="10">
        <f t="shared" si="0"/>
        <v>0.16835016835016836</v>
      </c>
    </row>
    <row r="28" spans="2:8" ht="17.25" x14ac:dyDescent="0.4">
      <c r="B28" s="11" t="s">
        <v>4</v>
      </c>
      <c r="C28" s="11"/>
      <c r="D28" s="11">
        <f>D7/1000</f>
        <v>625</v>
      </c>
      <c r="E28" s="11">
        <v>550</v>
      </c>
      <c r="F28" s="10">
        <f t="shared" si="0"/>
        <v>9.0252707581227443E-2</v>
      </c>
      <c r="G28" s="10">
        <f t="shared" si="0"/>
        <v>7.407407407407407E-2</v>
      </c>
    </row>
    <row r="29" spans="2:8" x14ac:dyDescent="0.25">
      <c r="B29" s="2" t="s">
        <v>15</v>
      </c>
      <c r="C29" s="2"/>
      <c r="D29" s="9">
        <f>D25-D26-D27-D28</f>
        <v>1007.7306397306397</v>
      </c>
      <c r="E29" s="9">
        <f>E25-E26-E27-E28</f>
        <v>1215</v>
      </c>
      <c r="F29" s="10">
        <f t="shared" si="0"/>
        <v>0.14552066999720428</v>
      </c>
      <c r="G29" s="10">
        <f t="shared" si="0"/>
        <v>0.16363636363636364</v>
      </c>
    </row>
    <row r="30" spans="2:8" ht="17.25" x14ac:dyDescent="0.4">
      <c r="B30" s="11" t="s">
        <v>5</v>
      </c>
      <c r="C30" s="11"/>
      <c r="D30" s="11">
        <f>D8/1000</f>
        <v>135</v>
      </c>
      <c r="E30" s="11">
        <v>125</v>
      </c>
      <c r="F30" s="10">
        <f t="shared" si="0"/>
        <v>1.9494584837545126E-2</v>
      </c>
      <c r="G30" s="10">
        <f t="shared" si="0"/>
        <v>1.6835016835016835E-2</v>
      </c>
    </row>
    <row r="31" spans="2:8" x14ac:dyDescent="0.25">
      <c r="B31" s="2" t="s">
        <v>16</v>
      </c>
      <c r="C31" s="2"/>
      <c r="D31" s="9">
        <f>D29-D30</f>
        <v>872.73063973063972</v>
      </c>
      <c r="E31" s="9">
        <f>E29-E30</f>
        <v>1090</v>
      </c>
      <c r="F31" s="10">
        <f t="shared" si="0"/>
        <v>0.12602608515965916</v>
      </c>
      <c r="G31" s="10">
        <f t="shared" si="0"/>
        <v>0.14680134680134679</v>
      </c>
    </row>
    <row r="32" spans="2:8" ht="17.25" x14ac:dyDescent="0.4">
      <c r="B32" s="11" t="s">
        <v>17</v>
      </c>
      <c r="C32" s="11"/>
      <c r="D32" s="11">
        <f>D31*D3</f>
        <v>244.36457912457914</v>
      </c>
      <c r="E32" s="11">
        <f>E31*0.28</f>
        <v>305.20000000000005</v>
      </c>
      <c r="F32" s="10">
        <f t="shared" si="0"/>
        <v>3.5287303844704569E-2</v>
      </c>
      <c r="G32" s="10">
        <f t="shared" si="0"/>
        <v>4.1104377104377109E-2</v>
      </c>
    </row>
    <row r="33" spans="2:7" x14ac:dyDescent="0.25">
      <c r="B33" s="2" t="s">
        <v>18</v>
      </c>
      <c r="C33" s="2"/>
      <c r="D33" s="9">
        <f>D31-D32</f>
        <v>628.36606060606061</v>
      </c>
      <c r="E33" s="9">
        <f>E31-E32</f>
        <v>784.8</v>
      </c>
      <c r="F33" s="10">
        <f t="shared" si="0"/>
        <v>9.0738781314954595E-2</v>
      </c>
      <c r="G33" s="10">
        <f t="shared" si="0"/>
        <v>0.10569696969696969</v>
      </c>
    </row>
    <row r="34" spans="2:7" ht="18" thickBot="1" x14ac:dyDescent="0.45">
      <c r="B34" s="11"/>
      <c r="C34" s="11"/>
      <c r="D34" s="11"/>
      <c r="E34" s="11"/>
      <c r="F34" s="10"/>
      <c r="G34" s="10"/>
    </row>
    <row r="35" spans="2:7" ht="15.75" thickBot="1" x14ac:dyDescent="0.3">
      <c r="B35" s="2" t="s">
        <v>19</v>
      </c>
      <c r="D35" s="27">
        <f>D33/D4*1000</f>
        <v>1.2567321212121212</v>
      </c>
      <c r="E35" s="9"/>
      <c r="F35" s="10"/>
      <c r="G35" s="10"/>
    </row>
    <row r="36" spans="2:7" ht="7.5" customHeight="1" x14ac:dyDescent="0.25">
      <c r="B36" s="2"/>
      <c r="C36" s="2"/>
      <c r="D36" s="9"/>
      <c r="E36" s="9"/>
    </row>
    <row r="37" spans="2:7" ht="7.5" customHeight="1" x14ac:dyDescent="0.25"/>
    <row r="38" spans="2:7" ht="7.5" customHeight="1" thickBot="1" x14ac:dyDescent="0.3">
      <c r="B38" s="1"/>
      <c r="C38" s="1"/>
      <c r="D38" s="1"/>
      <c r="E38" s="1"/>
      <c r="F38" s="1"/>
      <c r="G38" s="1"/>
    </row>
    <row r="39" spans="2:7" ht="18.75" x14ac:dyDescent="0.3">
      <c r="B39" s="145" t="s">
        <v>20</v>
      </c>
      <c r="C39" s="145"/>
      <c r="D39" s="145"/>
      <c r="E39" s="145"/>
      <c r="F39" s="145"/>
      <c r="G39" s="145"/>
    </row>
    <row r="40" spans="2:7" ht="18.75" x14ac:dyDescent="0.3">
      <c r="B40" s="145" t="s">
        <v>222</v>
      </c>
      <c r="C40" s="145"/>
      <c r="D40" s="145"/>
      <c r="E40" s="145"/>
      <c r="F40" s="145"/>
      <c r="G40" s="145"/>
    </row>
    <row r="41" spans="2:7" ht="19.5" thickBot="1" x14ac:dyDescent="0.35">
      <c r="B41" s="139" t="s">
        <v>11</v>
      </c>
      <c r="C41" s="139"/>
      <c r="D41" s="140"/>
      <c r="E41" s="140"/>
      <c r="F41" s="140"/>
      <c r="G41" s="140"/>
    </row>
    <row r="42" spans="2:7" ht="18.75" x14ac:dyDescent="0.3">
      <c r="B42" s="13"/>
      <c r="C42" s="13"/>
      <c r="D42" s="8"/>
      <c r="E42" s="8"/>
      <c r="F42" s="8"/>
      <c r="G42" s="8"/>
    </row>
    <row r="43" spans="2:7" ht="17.25" x14ac:dyDescent="0.4">
      <c r="D43" s="128" t="s">
        <v>223</v>
      </c>
      <c r="E43" s="128" t="s">
        <v>197</v>
      </c>
      <c r="F43" s="128" t="s">
        <v>223</v>
      </c>
      <c r="G43" s="128" t="s">
        <v>197</v>
      </c>
    </row>
    <row r="44" spans="2:7" x14ac:dyDescent="0.25">
      <c r="B44" s="14" t="s">
        <v>21</v>
      </c>
      <c r="C44" s="2"/>
      <c r="D44" s="15">
        <f>D49-D48-D47-D46-D45</f>
        <v>6394.3660606060585</v>
      </c>
      <c r="E44" s="15">
        <f>E49-E48-E47-E46-E45</f>
        <v>5646</v>
      </c>
      <c r="F44" s="10">
        <f>D44/D$67</f>
        <v>0.36939519581610647</v>
      </c>
      <c r="G44" s="10">
        <f>E44/E$67</f>
        <v>0.33172737955346648</v>
      </c>
    </row>
    <row r="45" spans="2:7" x14ac:dyDescent="0.25">
      <c r="B45" s="14" t="s">
        <v>22</v>
      </c>
      <c r="C45" s="2"/>
      <c r="D45" s="47">
        <v>1875</v>
      </c>
      <c r="E45" s="2">
        <v>2125</v>
      </c>
      <c r="F45" s="10">
        <f t="shared" ref="F45:G67" si="1">D45/D$67</f>
        <v>0.10831660020564313</v>
      </c>
      <c r="G45" s="10">
        <f t="shared" si="1"/>
        <v>0.12485311398354877</v>
      </c>
    </row>
    <row r="46" spans="2:7" x14ac:dyDescent="0.25">
      <c r="B46" s="14" t="s">
        <v>23</v>
      </c>
      <c r="C46" s="2"/>
      <c r="D46" s="2">
        <f>D10/1000</f>
        <v>2340</v>
      </c>
      <c r="E46" s="2">
        <v>2190</v>
      </c>
      <c r="F46" s="10">
        <f t="shared" si="1"/>
        <v>0.13517911705664262</v>
      </c>
      <c r="G46" s="10">
        <f t="shared" si="1"/>
        <v>0.12867215041128086</v>
      </c>
    </row>
    <row r="47" spans="2:7" x14ac:dyDescent="0.25">
      <c r="B47" s="14" t="s">
        <v>8</v>
      </c>
      <c r="C47" s="2"/>
      <c r="D47" s="2">
        <f>D11/1000</f>
        <v>1326</v>
      </c>
      <c r="E47" s="2">
        <v>1469</v>
      </c>
      <c r="F47" s="10">
        <f t="shared" si="1"/>
        <v>7.6601499665430825E-2</v>
      </c>
      <c r="G47" s="10">
        <f t="shared" si="1"/>
        <v>8.6310223266745006E-2</v>
      </c>
    </row>
    <row r="48" spans="2:7" ht="17.25" x14ac:dyDescent="0.4">
      <c r="B48" s="16" t="s">
        <v>24</v>
      </c>
      <c r="C48" s="2"/>
      <c r="D48" s="48">
        <v>650</v>
      </c>
      <c r="E48" s="11">
        <v>420</v>
      </c>
      <c r="F48" s="10">
        <f t="shared" si="1"/>
        <v>3.7549754737956284E-2</v>
      </c>
      <c r="G48" s="10">
        <f t="shared" si="1"/>
        <v>2.4676850763807285E-2</v>
      </c>
    </row>
    <row r="49" spans="2:7" x14ac:dyDescent="0.25">
      <c r="B49" s="17" t="s">
        <v>25</v>
      </c>
      <c r="C49" s="17"/>
      <c r="D49" s="18">
        <f>D54-D53-D52</f>
        <v>12585.366060606058</v>
      </c>
      <c r="E49" s="18">
        <f>E54-E53-E52</f>
        <v>11850</v>
      </c>
      <c r="F49" s="10">
        <f t="shared" si="1"/>
        <v>0.7270421674817793</v>
      </c>
      <c r="G49" s="10">
        <f t="shared" si="1"/>
        <v>0.69623971797884843</v>
      </c>
    </row>
    <row r="50" spans="2:7" x14ac:dyDescent="0.25">
      <c r="B50" s="14" t="s">
        <v>26</v>
      </c>
      <c r="C50" s="2"/>
      <c r="D50" s="2">
        <f>E50+D14/1000</f>
        <v>7955</v>
      </c>
      <c r="E50" s="2">
        <v>7695</v>
      </c>
      <c r="F50" s="10">
        <f t="shared" si="1"/>
        <v>0.45955122913914193</v>
      </c>
      <c r="G50" s="10">
        <f t="shared" si="1"/>
        <v>0.45211515863689777</v>
      </c>
    </row>
    <row r="51" spans="2:7" ht="17.25" x14ac:dyDescent="0.4">
      <c r="B51" s="16" t="s">
        <v>27</v>
      </c>
      <c r="C51" s="2"/>
      <c r="D51" s="11">
        <f>E51+D28</f>
        <v>4215</v>
      </c>
      <c r="E51" s="11">
        <v>3590</v>
      </c>
      <c r="F51" s="10">
        <f t="shared" si="1"/>
        <v>0.24349571726228575</v>
      </c>
      <c r="G51" s="10">
        <f t="shared" si="1"/>
        <v>0.21092831962397179</v>
      </c>
    </row>
    <row r="52" spans="2:7" x14ac:dyDescent="0.25">
      <c r="B52" s="17" t="s">
        <v>28</v>
      </c>
      <c r="C52" s="2"/>
      <c r="D52" s="18">
        <f>D50-D51</f>
        <v>3740</v>
      </c>
      <c r="E52" s="18">
        <f>E50-E51</f>
        <v>4105</v>
      </c>
      <c r="F52" s="10">
        <f t="shared" si="1"/>
        <v>0.21605551187685615</v>
      </c>
      <c r="G52" s="10">
        <f t="shared" si="1"/>
        <v>0.24118683901292598</v>
      </c>
    </row>
    <row r="53" spans="2:7" ht="17.25" x14ac:dyDescent="0.4">
      <c r="B53" s="19" t="s">
        <v>29</v>
      </c>
      <c r="C53" s="2"/>
      <c r="D53" s="48">
        <v>985</v>
      </c>
      <c r="E53" s="11">
        <v>1065</v>
      </c>
      <c r="F53" s="10">
        <f t="shared" si="1"/>
        <v>5.6902320641364523E-2</v>
      </c>
      <c r="G53" s="10">
        <f t="shared" si="1"/>
        <v>6.2573443008225621E-2</v>
      </c>
    </row>
    <row r="54" spans="2:7" x14ac:dyDescent="0.25">
      <c r="B54" s="20" t="s">
        <v>30</v>
      </c>
      <c r="C54" s="20"/>
      <c r="D54" s="21">
        <f>D67</f>
        <v>17310.366060606058</v>
      </c>
      <c r="E54" s="21">
        <f>E67</f>
        <v>17020</v>
      </c>
      <c r="F54" s="10">
        <f t="shared" si="1"/>
        <v>1</v>
      </c>
      <c r="G54" s="10">
        <f t="shared" si="1"/>
        <v>1</v>
      </c>
    </row>
    <row r="55" spans="2:7" x14ac:dyDescent="0.25">
      <c r="B55" s="2"/>
      <c r="C55" s="2"/>
      <c r="D55" s="2"/>
      <c r="E55" s="2"/>
      <c r="F55" s="10"/>
      <c r="G55" s="10"/>
    </row>
    <row r="56" spans="2:7" x14ac:dyDescent="0.25">
      <c r="B56" s="14" t="s">
        <v>31</v>
      </c>
      <c r="C56" s="2"/>
      <c r="D56" s="15">
        <f>D12/1000</f>
        <v>980</v>
      </c>
      <c r="E56" s="15">
        <v>1175</v>
      </c>
      <c r="F56" s="10">
        <f t="shared" si="1"/>
        <v>5.6613476374149471E-2</v>
      </c>
      <c r="G56" s="10">
        <f t="shared" si="1"/>
        <v>6.9036427732079908E-2</v>
      </c>
    </row>
    <row r="57" spans="2:7" x14ac:dyDescent="0.25">
      <c r="B57" s="14" t="s">
        <v>32</v>
      </c>
      <c r="C57" s="2"/>
      <c r="D57" s="47">
        <v>162</v>
      </c>
      <c r="E57" s="2">
        <v>145</v>
      </c>
      <c r="F57" s="10">
        <f t="shared" si="1"/>
        <v>9.3585542577675658E-3</v>
      </c>
      <c r="G57" s="10">
        <f t="shared" si="1"/>
        <v>8.5193889541715622E-3</v>
      </c>
    </row>
    <row r="58" spans="2:7" x14ac:dyDescent="0.25">
      <c r="B58" s="14" t="s">
        <v>33</v>
      </c>
      <c r="C58" s="2"/>
      <c r="D58" s="47">
        <v>395</v>
      </c>
      <c r="E58" s="2">
        <v>360</v>
      </c>
      <c r="F58" s="10">
        <f t="shared" si="1"/>
        <v>2.2818697109988819E-2</v>
      </c>
      <c r="G58" s="10">
        <f t="shared" si="1"/>
        <v>2.1151586368977675E-2</v>
      </c>
    </row>
    <row r="59" spans="2:7" ht="17.25" x14ac:dyDescent="0.4">
      <c r="B59" s="16" t="s">
        <v>34</v>
      </c>
      <c r="C59" s="2"/>
      <c r="D59" s="48">
        <v>450</v>
      </c>
      <c r="E59" s="11">
        <v>570</v>
      </c>
      <c r="F59" s="10">
        <f t="shared" si="1"/>
        <v>2.599598404935435E-2</v>
      </c>
      <c r="G59" s="10">
        <f t="shared" si="1"/>
        <v>3.3490011750881316E-2</v>
      </c>
    </row>
    <row r="60" spans="2:7" x14ac:dyDescent="0.25">
      <c r="B60" s="17" t="s">
        <v>35</v>
      </c>
      <c r="C60" s="2"/>
      <c r="D60" s="18">
        <f>SUM(D56:D59)</f>
        <v>1987</v>
      </c>
      <c r="E60" s="18">
        <f>SUM(E56:E59)</f>
        <v>2250</v>
      </c>
      <c r="F60" s="10">
        <f t="shared" si="1"/>
        <v>0.11478671179126021</v>
      </c>
      <c r="G60" s="10">
        <f t="shared" si="1"/>
        <v>0.13219741480611047</v>
      </c>
    </row>
    <row r="61" spans="2:7" ht="17.25" x14ac:dyDescent="0.4">
      <c r="B61" s="16" t="s">
        <v>36</v>
      </c>
      <c r="C61" s="2"/>
      <c r="D61" s="48">
        <v>4750</v>
      </c>
      <c r="E61" s="11">
        <v>4500</v>
      </c>
      <c r="F61" s="10">
        <f t="shared" si="1"/>
        <v>0.27440205385429595</v>
      </c>
      <c r="G61" s="10">
        <f t="shared" si="1"/>
        <v>0.26439482961222094</v>
      </c>
    </row>
    <row r="62" spans="2:7" x14ac:dyDescent="0.25">
      <c r="B62" s="17" t="s">
        <v>37</v>
      </c>
      <c r="C62" s="2"/>
      <c r="D62" s="18">
        <f>D60+D61</f>
        <v>6737</v>
      </c>
      <c r="E62" s="18">
        <f>E60+E61</f>
        <v>6750</v>
      </c>
      <c r="F62" s="10">
        <f t="shared" si="1"/>
        <v>0.38918876564555616</v>
      </c>
      <c r="G62" s="10">
        <f t="shared" si="1"/>
        <v>0.39659224441833135</v>
      </c>
    </row>
    <row r="63" spans="2:7" x14ac:dyDescent="0.25">
      <c r="B63" s="14" t="s">
        <v>38</v>
      </c>
      <c r="C63" s="2"/>
      <c r="D63" s="47">
        <v>4525</v>
      </c>
      <c r="E63" s="2">
        <v>4525</v>
      </c>
      <c r="F63" s="10">
        <f t="shared" si="1"/>
        <v>0.26140406182961873</v>
      </c>
      <c r="G63" s="10">
        <f t="shared" si="1"/>
        <v>0.26586368977673325</v>
      </c>
    </row>
    <row r="64" spans="2:7" x14ac:dyDescent="0.25">
      <c r="B64" s="14" t="s">
        <v>39</v>
      </c>
      <c r="C64" s="2"/>
      <c r="D64" s="47">
        <v>1450</v>
      </c>
      <c r="E64" s="2">
        <v>1450</v>
      </c>
      <c r="F64" s="10">
        <f t="shared" si="1"/>
        <v>8.3764837492364019E-2</v>
      </c>
      <c r="G64" s="10">
        <f t="shared" si="1"/>
        <v>8.5193889541715626E-2</v>
      </c>
    </row>
    <row r="65" spans="2:7" ht="17.25" x14ac:dyDescent="0.4">
      <c r="B65" s="16" t="s">
        <v>40</v>
      </c>
      <c r="C65" s="2"/>
      <c r="D65" s="11">
        <f>D33-(D13*D4/1000)+E65</f>
        <v>4598.3660606060603</v>
      </c>
      <c r="E65" s="11">
        <v>4295</v>
      </c>
      <c r="F65" s="10">
        <f t="shared" si="1"/>
        <v>0.26564233503246121</v>
      </c>
      <c r="G65" s="10">
        <f t="shared" si="1"/>
        <v>0.25235017626321976</v>
      </c>
    </row>
    <row r="66" spans="2:7" ht="17.25" x14ac:dyDescent="0.4">
      <c r="B66" s="22" t="s">
        <v>41</v>
      </c>
      <c r="C66" s="2"/>
      <c r="D66" s="23">
        <f>D63+D64+D65</f>
        <v>10573.36606060606</v>
      </c>
      <c r="E66" s="23">
        <f>E63+E64+E65</f>
        <v>10270</v>
      </c>
      <c r="F66" s="10">
        <f t="shared" si="1"/>
        <v>0.61081123435444395</v>
      </c>
      <c r="G66" s="10">
        <f t="shared" si="1"/>
        <v>0.60340775558166859</v>
      </c>
    </row>
    <row r="67" spans="2:7" x14ac:dyDescent="0.25">
      <c r="B67" s="20" t="s">
        <v>42</v>
      </c>
      <c r="C67" s="20"/>
      <c r="D67" s="21">
        <f>D66+D62</f>
        <v>17310.366060606058</v>
      </c>
      <c r="E67" s="21">
        <f>E66+E62</f>
        <v>17020</v>
      </c>
      <c r="F67" s="10">
        <f t="shared" si="1"/>
        <v>1</v>
      </c>
      <c r="G67" s="10">
        <f t="shared" si="1"/>
        <v>1</v>
      </c>
    </row>
    <row r="68" spans="2:7" ht="15.75" thickBot="1" x14ac:dyDescent="0.3">
      <c r="B68" s="24"/>
      <c r="C68" s="24"/>
      <c r="D68" s="25"/>
      <c r="E68" s="25"/>
    </row>
    <row r="69" spans="2:7" ht="18.75" x14ac:dyDescent="0.3">
      <c r="B69" s="141" t="s">
        <v>43</v>
      </c>
      <c r="C69" s="141"/>
      <c r="D69" s="141"/>
      <c r="E69" s="141"/>
    </row>
    <row r="70" spans="2:7" ht="19.5" thickBot="1" x14ac:dyDescent="0.35">
      <c r="B70" s="142" t="s">
        <v>11</v>
      </c>
      <c r="C70" s="142"/>
      <c r="D70" s="142"/>
      <c r="E70" s="142"/>
    </row>
    <row r="72" spans="2:7" ht="17.25" x14ac:dyDescent="0.4">
      <c r="D72" s="143" t="s">
        <v>223</v>
      </c>
      <c r="E72" s="143"/>
    </row>
    <row r="73" spans="2:7" ht="15.75" x14ac:dyDescent="0.25">
      <c r="B73" s="26" t="s">
        <v>44</v>
      </c>
      <c r="C73" s="2"/>
      <c r="D73" s="2"/>
    </row>
    <row r="74" spans="2:7" x14ac:dyDescent="0.25">
      <c r="B74" s="14" t="s">
        <v>45</v>
      </c>
      <c r="C74" s="2"/>
      <c r="D74" s="2"/>
    </row>
    <row r="75" spans="2:7" x14ac:dyDescent="0.25">
      <c r="B75" s="14" t="s">
        <v>46</v>
      </c>
      <c r="C75" s="2"/>
      <c r="D75" s="46">
        <f>D28</f>
        <v>625</v>
      </c>
    </row>
    <row r="76" spans="2:7" x14ac:dyDescent="0.25">
      <c r="B76" s="14" t="s">
        <v>47</v>
      </c>
      <c r="C76" s="2"/>
    </row>
    <row r="77" spans="2:7" x14ac:dyDescent="0.25">
      <c r="B77" s="14" t="s">
        <v>48</v>
      </c>
      <c r="C77" s="2"/>
      <c r="D77" s="46">
        <f>E46-D46</f>
        <v>-150</v>
      </c>
    </row>
    <row r="78" spans="2:7" x14ac:dyDescent="0.25">
      <c r="B78" s="14" t="s">
        <v>49</v>
      </c>
      <c r="C78" s="2"/>
    </row>
    <row r="79" spans="2:7" x14ac:dyDescent="0.25">
      <c r="B79" s="14" t="s">
        <v>50</v>
      </c>
      <c r="C79" s="2"/>
    </row>
    <row r="80" spans="2:7" x14ac:dyDescent="0.25">
      <c r="B80" s="14" t="s">
        <v>51</v>
      </c>
      <c r="C80" s="2"/>
      <c r="D80" s="46">
        <f>D56-E56</f>
        <v>-195</v>
      </c>
    </row>
    <row r="81" spans="2:4" ht="17.25" x14ac:dyDescent="0.4">
      <c r="B81" s="16" t="s">
        <v>52</v>
      </c>
      <c r="C81" s="2"/>
    </row>
    <row r="82" spans="2:4" x14ac:dyDescent="0.25">
      <c r="B82" s="17" t="s">
        <v>53</v>
      </c>
      <c r="C82" s="17"/>
      <c r="D82" s="17"/>
    </row>
    <row r="83" spans="2:4" x14ac:dyDescent="0.25">
      <c r="B83" s="2"/>
      <c r="C83" s="2"/>
      <c r="D83" s="2"/>
    </row>
    <row r="84" spans="2:4" x14ac:dyDescent="0.25">
      <c r="B84" s="17" t="s">
        <v>54</v>
      </c>
      <c r="C84" s="2"/>
      <c r="D84" s="2"/>
    </row>
    <row r="85" spans="2:4" x14ac:dyDescent="0.25">
      <c r="B85" s="14" t="s">
        <v>55</v>
      </c>
      <c r="C85" s="2"/>
      <c r="D85" s="2"/>
    </row>
    <row r="86" spans="2:4" ht="17.25" x14ac:dyDescent="0.4">
      <c r="B86" s="16" t="s">
        <v>56</v>
      </c>
      <c r="C86" s="2"/>
      <c r="D86" s="2"/>
    </row>
    <row r="87" spans="2:4" x14ac:dyDescent="0.25">
      <c r="B87" s="17" t="s">
        <v>57</v>
      </c>
      <c r="C87" s="17"/>
      <c r="D87" s="2"/>
    </row>
    <row r="88" spans="2:4" x14ac:dyDescent="0.25">
      <c r="B88" s="2"/>
      <c r="C88" s="2"/>
    </row>
    <row r="89" spans="2:4" x14ac:dyDescent="0.25">
      <c r="B89" s="17" t="s">
        <v>58</v>
      </c>
      <c r="C89" s="2"/>
      <c r="D89" s="2"/>
    </row>
    <row r="90" spans="2:4" x14ac:dyDescent="0.25">
      <c r="B90" s="14" t="s">
        <v>97</v>
      </c>
      <c r="C90" s="2"/>
    </row>
    <row r="91" spans="2:4" x14ac:dyDescent="0.25">
      <c r="B91" s="14" t="s">
        <v>59</v>
      </c>
      <c r="C91" s="2"/>
      <c r="D91" s="46">
        <f>D61-E61</f>
        <v>250</v>
      </c>
    </row>
    <row r="92" spans="2:4" x14ac:dyDescent="0.25">
      <c r="B92" s="14" t="s">
        <v>60</v>
      </c>
      <c r="C92" s="2"/>
    </row>
    <row r="93" spans="2:4" x14ac:dyDescent="0.25">
      <c r="B93" s="14" t="s">
        <v>61</v>
      </c>
      <c r="C93" s="2"/>
      <c r="D93" s="17"/>
    </row>
    <row r="94" spans="2:4" ht="17.25" x14ac:dyDescent="0.4">
      <c r="B94" s="16" t="s">
        <v>62</v>
      </c>
      <c r="C94" s="2"/>
      <c r="D94" s="46">
        <f>-D13*D4/1000</f>
        <v>-325</v>
      </c>
    </row>
    <row r="95" spans="2:4" x14ac:dyDescent="0.25">
      <c r="B95" s="17" t="s">
        <v>63</v>
      </c>
      <c r="C95" s="2"/>
      <c r="D95" s="17"/>
    </row>
    <row r="96" spans="2:4" x14ac:dyDescent="0.25">
      <c r="B96" s="2"/>
      <c r="C96" s="2"/>
      <c r="D96" s="2"/>
    </row>
    <row r="97" spans="2:4" x14ac:dyDescent="0.25">
      <c r="B97" s="20"/>
      <c r="C97" s="20"/>
      <c r="D97" s="20"/>
    </row>
  </sheetData>
  <mergeCells count="10">
    <mergeCell ref="B41:G41"/>
    <mergeCell ref="B69:E69"/>
    <mergeCell ref="B70:E70"/>
    <mergeCell ref="D72:E72"/>
    <mergeCell ref="B2:D2"/>
    <mergeCell ref="B18:G18"/>
    <mergeCell ref="B20:G20"/>
    <mergeCell ref="B39:G39"/>
    <mergeCell ref="B19:G19"/>
    <mergeCell ref="B40:G40"/>
  </mergeCells>
  <pageMargins left="0.7" right="0.7" top="0.75" bottom="0.75" header="0.3" footer="0.3"/>
  <pageSetup scale="6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9:T55"/>
  <sheetViews>
    <sheetView zoomScale="85" zoomScaleNormal="85" workbookViewId="0">
      <selection activeCell="C32" sqref="C32"/>
    </sheetView>
  </sheetViews>
  <sheetFormatPr defaultRowHeight="15" x14ac:dyDescent="0.25"/>
  <cols>
    <col min="2" max="2" width="33.42578125" customWidth="1"/>
    <col min="5" max="14" width="9.85546875" customWidth="1"/>
  </cols>
  <sheetData>
    <row r="19" spans="2:20" ht="15.75" thickBot="1" x14ac:dyDescent="0.3"/>
    <row r="20" spans="2:20" ht="22.5" customHeight="1" thickBot="1" x14ac:dyDescent="0.3">
      <c r="B20" s="146" t="s">
        <v>92</v>
      </c>
      <c r="C20" s="147"/>
      <c r="D20" s="147"/>
      <c r="E20" s="147"/>
      <c r="F20" s="147"/>
      <c r="G20" s="147"/>
      <c r="H20" s="147"/>
      <c r="I20" s="147"/>
      <c r="J20" s="147"/>
      <c r="K20" s="147"/>
      <c r="L20" s="147"/>
      <c r="M20" s="147"/>
      <c r="N20" s="148"/>
    </row>
    <row r="21" spans="2:20" ht="15.75" thickBot="1" x14ac:dyDescent="0.3"/>
    <row r="22" spans="2:20" ht="15.75" thickBot="1" x14ac:dyDescent="0.3">
      <c r="B22" s="29" t="s">
        <v>98</v>
      </c>
      <c r="C22" s="4"/>
      <c r="F22" s="40">
        <v>0.6</v>
      </c>
      <c r="H22" s="29" t="s">
        <v>99</v>
      </c>
      <c r="L22" s="39">
        <v>225000</v>
      </c>
    </row>
    <row r="23" spans="2:20" ht="15.75" thickBot="1" x14ac:dyDescent="0.3">
      <c r="B23" s="29" t="s">
        <v>100</v>
      </c>
      <c r="C23" s="4"/>
      <c r="F23" s="40">
        <v>0.15</v>
      </c>
      <c r="T23" t="s">
        <v>77</v>
      </c>
    </row>
    <row r="24" spans="2:20" ht="15.75" thickBot="1" x14ac:dyDescent="0.3">
      <c r="B24" s="29" t="s">
        <v>101</v>
      </c>
      <c r="C24" s="4"/>
      <c r="F24" s="40">
        <v>0.25</v>
      </c>
      <c r="H24" s="29" t="s">
        <v>102</v>
      </c>
      <c r="L24" s="34" t="s">
        <v>127</v>
      </c>
      <c r="T24" t="s">
        <v>126</v>
      </c>
    </row>
    <row r="25" spans="2:20" ht="15.75" thickBot="1" x14ac:dyDescent="0.3">
      <c r="B25" s="32"/>
      <c r="C25" s="4"/>
      <c r="T25" t="s">
        <v>127</v>
      </c>
    </row>
    <row r="26" spans="2:20" ht="15.75" thickBot="1" x14ac:dyDescent="0.3">
      <c r="B26" s="29" t="s">
        <v>103</v>
      </c>
      <c r="C26" s="4"/>
      <c r="F26" s="40">
        <v>0.25</v>
      </c>
      <c r="H26" s="29" t="s">
        <v>93</v>
      </c>
      <c r="L26" s="39">
        <v>20000</v>
      </c>
      <c r="T26" t="s">
        <v>128</v>
      </c>
    </row>
    <row r="27" spans="2:20" x14ac:dyDescent="0.25">
      <c r="C27" s="4"/>
    </row>
    <row r="28" spans="2:20" ht="17.25" x14ac:dyDescent="0.4">
      <c r="B28" s="32"/>
      <c r="C28" s="38" t="s">
        <v>73</v>
      </c>
      <c r="D28" s="38" t="s">
        <v>74</v>
      </c>
      <c r="E28" s="38" t="s">
        <v>75</v>
      </c>
      <c r="F28" s="38" t="s">
        <v>76</v>
      </c>
      <c r="G28" s="38" t="s">
        <v>77</v>
      </c>
      <c r="H28" s="38" t="s">
        <v>78</v>
      </c>
      <c r="I28" s="38" t="s">
        <v>79</v>
      </c>
      <c r="J28" s="38" t="s">
        <v>80</v>
      </c>
      <c r="K28" s="38" t="s">
        <v>81</v>
      </c>
      <c r="L28" s="38" t="s">
        <v>82</v>
      </c>
      <c r="M28" s="38" t="s">
        <v>83</v>
      </c>
      <c r="N28" s="38" t="s">
        <v>84</v>
      </c>
    </row>
    <row r="29" spans="2:20" x14ac:dyDescent="0.25">
      <c r="B29" s="29" t="s">
        <v>104</v>
      </c>
      <c r="C29" s="41">
        <v>12100</v>
      </c>
      <c r="D29" s="41">
        <v>14220</v>
      </c>
      <c r="E29" s="41">
        <v>15950</v>
      </c>
      <c r="F29" s="4">
        <v>18650</v>
      </c>
      <c r="G29" s="4">
        <v>19800</v>
      </c>
      <c r="H29" s="4">
        <v>21240</v>
      </c>
      <c r="I29" s="4">
        <v>17240</v>
      </c>
      <c r="J29" s="4">
        <v>16920</v>
      </c>
      <c r="K29" s="4">
        <v>17490</v>
      </c>
      <c r="L29" s="4">
        <v>19220</v>
      </c>
      <c r="M29" s="4">
        <v>23100</v>
      </c>
      <c r="N29" s="4">
        <v>25420</v>
      </c>
    </row>
    <row r="30" spans="2:20" x14ac:dyDescent="0.25">
      <c r="C30" s="4"/>
      <c r="D30" s="4"/>
      <c r="E30" s="4"/>
      <c r="F30" s="4"/>
      <c r="G30" s="4"/>
      <c r="H30" s="4"/>
      <c r="I30" s="4"/>
      <c r="J30" s="4"/>
      <c r="K30" s="4"/>
      <c r="L30" s="4"/>
      <c r="M30" s="4"/>
      <c r="N30" s="4"/>
    </row>
    <row r="31" spans="2:20" x14ac:dyDescent="0.25">
      <c r="B31" s="32" t="s">
        <v>105</v>
      </c>
      <c r="C31" s="4"/>
      <c r="D31" s="4"/>
      <c r="E31" s="4"/>
      <c r="F31" s="43">
        <f t="shared" ref="F31:N31" si="0">F29*Collect0+E29*Collect1+D29*Collect2</f>
        <v>17137.5</v>
      </c>
      <c r="G31" s="43">
        <f t="shared" si="0"/>
        <v>18665</v>
      </c>
      <c r="H31" s="43">
        <f t="shared" si="0"/>
        <v>20376.5</v>
      </c>
      <c r="I31" s="43">
        <f t="shared" si="0"/>
        <v>18480</v>
      </c>
      <c r="J31" s="43">
        <f t="shared" si="0"/>
        <v>18048</v>
      </c>
      <c r="K31" s="43">
        <f t="shared" si="0"/>
        <v>17342</v>
      </c>
      <c r="L31" s="43">
        <f t="shared" si="0"/>
        <v>18385.5</v>
      </c>
      <c r="M31" s="43">
        <f t="shared" si="0"/>
        <v>21115.5</v>
      </c>
      <c r="N31" s="43">
        <f t="shared" si="0"/>
        <v>23522</v>
      </c>
    </row>
    <row r="32" spans="2:20" x14ac:dyDescent="0.25">
      <c r="B32" s="32"/>
      <c r="C32" s="4"/>
      <c r="D32" s="4"/>
      <c r="E32" s="4"/>
      <c r="F32" s="4"/>
      <c r="G32" s="4"/>
      <c r="H32" s="4"/>
      <c r="I32" s="4"/>
      <c r="J32" s="4"/>
      <c r="K32" s="4"/>
      <c r="L32" s="4"/>
      <c r="M32" s="4"/>
      <c r="N32" s="4"/>
    </row>
    <row r="33" spans="2:15" x14ac:dyDescent="0.25">
      <c r="B33" s="32" t="s">
        <v>106</v>
      </c>
      <c r="C33" s="4"/>
      <c r="D33" s="4"/>
      <c r="E33" s="4"/>
      <c r="F33" s="43">
        <f>F29*$F$26</f>
        <v>4662.5</v>
      </c>
      <c r="G33" s="43">
        <f t="shared" ref="G33:N33" si="1">G29*$F$26</f>
        <v>4950</v>
      </c>
      <c r="H33" s="43">
        <f t="shared" si="1"/>
        <v>5310</v>
      </c>
      <c r="I33" s="43">
        <f t="shared" si="1"/>
        <v>4310</v>
      </c>
      <c r="J33" s="43">
        <f t="shared" si="1"/>
        <v>4230</v>
      </c>
      <c r="K33" s="43">
        <f t="shared" si="1"/>
        <v>4372.5</v>
      </c>
      <c r="L33" s="43">
        <f t="shared" si="1"/>
        <v>4805</v>
      </c>
      <c r="M33" s="43">
        <f t="shared" si="1"/>
        <v>5775</v>
      </c>
      <c r="N33" s="43">
        <f t="shared" si="1"/>
        <v>6355</v>
      </c>
    </row>
    <row r="34" spans="2:15" x14ac:dyDescent="0.25">
      <c r="B34" s="32" t="s">
        <v>3</v>
      </c>
      <c r="C34" s="4"/>
      <c r="D34" s="4"/>
      <c r="E34" s="4"/>
      <c r="F34" s="41">
        <v>11500</v>
      </c>
      <c r="G34" s="41">
        <v>11500</v>
      </c>
      <c r="H34" s="41">
        <v>11500</v>
      </c>
      <c r="I34" s="41">
        <v>11500</v>
      </c>
      <c r="J34" s="41">
        <v>11500</v>
      </c>
      <c r="K34" s="41">
        <v>11500</v>
      </c>
      <c r="L34" s="41">
        <v>11500</v>
      </c>
      <c r="M34" s="41">
        <v>11500</v>
      </c>
      <c r="N34" s="41">
        <v>11500</v>
      </c>
    </row>
    <row r="35" spans="2:15" x14ac:dyDescent="0.25">
      <c r="B35" s="32" t="s">
        <v>95</v>
      </c>
      <c r="C35" s="4"/>
      <c r="D35" s="4"/>
      <c r="E35" s="4"/>
      <c r="F35" s="41">
        <v>985</v>
      </c>
      <c r="G35" s="41">
        <v>0</v>
      </c>
      <c r="H35" s="41">
        <v>0</v>
      </c>
      <c r="I35" s="41">
        <v>985</v>
      </c>
      <c r="J35" s="41">
        <v>0</v>
      </c>
      <c r="K35" s="41">
        <v>0</v>
      </c>
      <c r="L35" s="41">
        <v>985</v>
      </c>
      <c r="M35" s="41">
        <v>0</v>
      </c>
      <c r="N35" s="41">
        <v>0</v>
      </c>
    </row>
    <row r="36" spans="2:15" x14ac:dyDescent="0.25">
      <c r="B36" s="32" t="s">
        <v>107</v>
      </c>
      <c r="C36" s="4"/>
      <c r="D36" s="4"/>
      <c r="E36" s="4"/>
      <c r="F36" s="41">
        <v>0</v>
      </c>
      <c r="G36" s="43">
        <f>IF($L$24="May",$L$22,0)</f>
        <v>0</v>
      </c>
      <c r="H36" s="43">
        <f>IF($L$24="June",$L$22,0)</f>
        <v>0</v>
      </c>
      <c r="I36" s="43">
        <f>IF($L$24="July",$L$22,0)</f>
        <v>225000</v>
      </c>
      <c r="J36" s="43">
        <f>IF($L$24="August",$L$22,0)</f>
        <v>0</v>
      </c>
      <c r="K36" s="41">
        <v>0</v>
      </c>
      <c r="L36" s="41">
        <v>0</v>
      </c>
      <c r="M36" s="41">
        <v>0</v>
      </c>
      <c r="N36" s="41">
        <v>0</v>
      </c>
    </row>
    <row r="37" spans="2:15" ht="17.25" x14ac:dyDescent="0.4">
      <c r="B37" s="44" t="s">
        <v>96</v>
      </c>
      <c r="C37" s="4"/>
      <c r="D37" s="4"/>
      <c r="E37" s="4"/>
      <c r="F37" s="42">
        <v>850</v>
      </c>
      <c r="G37" s="42">
        <v>0</v>
      </c>
      <c r="H37" s="42">
        <v>0</v>
      </c>
      <c r="I37" s="42">
        <v>980</v>
      </c>
      <c r="J37" s="42">
        <v>0</v>
      </c>
      <c r="K37" s="42">
        <v>0</v>
      </c>
      <c r="L37" s="42">
        <v>1025</v>
      </c>
      <c r="M37" s="42">
        <v>0</v>
      </c>
      <c r="N37" s="42">
        <v>0</v>
      </c>
    </row>
    <row r="38" spans="2:15" x14ac:dyDescent="0.25">
      <c r="B38" s="32" t="s">
        <v>108</v>
      </c>
      <c r="C38" s="4"/>
      <c r="D38" s="4"/>
      <c r="E38" s="4"/>
      <c r="F38" s="41">
        <f>SUM(F33:F37)</f>
        <v>17997.5</v>
      </c>
      <c r="G38" s="41">
        <f t="shared" ref="G38:N38" si="2">SUM(G33:G37)</f>
        <v>16450</v>
      </c>
      <c r="H38" s="41">
        <f t="shared" si="2"/>
        <v>16810</v>
      </c>
      <c r="I38" s="41">
        <f t="shared" si="2"/>
        <v>242775</v>
      </c>
      <c r="J38" s="41">
        <f t="shared" si="2"/>
        <v>15730</v>
      </c>
      <c r="K38" s="41">
        <f t="shared" si="2"/>
        <v>15872.5</v>
      </c>
      <c r="L38" s="41">
        <f t="shared" si="2"/>
        <v>18315</v>
      </c>
      <c r="M38" s="41">
        <f t="shared" si="2"/>
        <v>17275</v>
      </c>
      <c r="N38" s="41">
        <f t="shared" si="2"/>
        <v>17855</v>
      </c>
    </row>
    <row r="39" spans="2:15" ht="15.75" thickBot="1" x14ac:dyDescent="0.3">
      <c r="B39" s="28"/>
      <c r="C39" s="28"/>
      <c r="D39" s="28"/>
      <c r="E39" s="28"/>
      <c r="F39" s="28"/>
      <c r="G39" s="28"/>
      <c r="H39" s="28"/>
      <c r="I39" s="28"/>
      <c r="J39" s="28"/>
      <c r="K39" s="28"/>
      <c r="L39" s="28"/>
      <c r="M39" s="28"/>
      <c r="N39" s="28"/>
    </row>
    <row r="40" spans="2:15" ht="21.6" customHeight="1" thickBot="1" x14ac:dyDescent="0.3">
      <c r="B40" s="149" t="s">
        <v>94</v>
      </c>
      <c r="C40" s="149"/>
      <c r="D40" s="149"/>
      <c r="E40" s="149"/>
      <c r="F40" s="149"/>
      <c r="G40" s="149"/>
      <c r="H40" s="149"/>
      <c r="I40" s="149"/>
      <c r="J40" s="149"/>
      <c r="K40" s="149"/>
      <c r="L40" s="149"/>
      <c r="M40" s="149"/>
      <c r="N40" s="149"/>
    </row>
    <row r="41" spans="2:15" ht="21.6" customHeight="1" thickBot="1" x14ac:dyDescent="0.3">
      <c r="B41" s="36"/>
      <c r="C41" s="37"/>
      <c r="D41" s="37"/>
      <c r="E41" s="37" t="s">
        <v>75</v>
      </c>
      <c r="F41" s="37" t="s">
        <v>76</v>
      </c>
      <c r="G41" s="37" t="s">
        <v>77</v>
      </c>
      <c r="H41" s="37" t="s">
        <v>78</v>
      </c>
      <c r="I41" s="37" t="s">
        <v>79</v>
      </c>
      <c r="J41" s="37" t="s">
        <v>80</v>
      </c>
      <c r="K41" s="37" t="s">
        <v>81</v>
      </c>
      <c r="L41" s="37" t="s">
        <v>82</v>
      </c>
      <c r="M41" s="37" t="s">
        <v>83</v>
      </c>
      <c r="N41" s="37" t="s">
        <v>84</v>
      </c>
      <c r="O41" s="35"/>
    </row>
    <row r="42" spans="2:15" ht="19.5" customHeight="1" x14ac:dyDescent="0.25">
      <c r="B42" s="29" t="s">
        <v>85</v>
      </c>
      <c r="C42" s="29"/>
      <c r="D42" s="29"/>
      <c r="E42" s="29"/>
      <c r="F42" s="29">
        <f>E46</f>
        <v>25000</v>
      </c>
      <c r="G42" s="29">
        <f t="shared" ref="G42:N42" si="3">F46</f>
        <v>20000</v>
      </c>
      <c r="H42" s="29">
        <f t="shared" si="3"/>
        <v>20000</v>
      </c>
      <c r="I42" s="29">
        <f t="shared" si="3"/>
        <v>20000</v>
      </c>
      <c r="J42" s="29">
        <f t="shared" si="3"/>
        <v>20000</v>
      </c>
      <c r="K42" s="29">
        <f t="shared" si="3"/>
        <v>20000</v>
      </c>
      <c r="L42" s="29">
        <f t="shared" si="3"/>
        <v>20000</v>
      </c>
      <c r="M42" s="29">
        <f t="shared" si="3"/>
        <v>20000</v>
      </c>
      <c r="N42" s="29">
        <f t="shared" si="3"/>
        <v>20000</v>
      </c>
    </row>
    <row r="43" spans="2:15" ht="17.25" x14ac:dyDescent="0.4">
      <c r="B43" s="30" t="s">
        <v>86</v>
      </c>
      <c r="C43" s="31"/>
      <c r="D43" s="31"/>
      <c r="E43" s="31"/>
      <c r="F43" s="31">
        <f>F31-F38</f>
        <v>-860</v>
      </c>
      <c r="G43" s="31">
        <f t="shared" ref="G43:N43" si="4">G31-G38</f>
        <v>2215</v>
      </c>
      <c r="H43" s="31">
        <f t="shared" si="4"/>
        <v>3566.5</v>
      </c>
      <c r="I43" s="31">
        <f t="shared" si="4"/>
        <v>-224295</v>
      </c>
      <c r="J43" s="31">
        <f t="shared" si="4"/>
        <v>2318</v>
      </c>
      <c r="K43" s="31">
        <f t="shared" si="4"/>
        <v>1469.5</v>
      </c>
      <c r="L43" s="31">
        <f t="shared" si="4"/>
        <v>70.5</v>
      </c>
      <c r="M43" s="31">
        <f t="shared" si="4"/>
        <v>3840.5</v>
      </c>
      <c r="N43" s="31">
        <f t="shared" si="4"/>
        <v>5667</v>
      </c>
    </row>
    <row r="44" spans="2:15" x14ac:dyDescent="0.25">
      <c r="B44" s="32" t="s">
        <v>87</v>
      </c>
      <c r="C44" s="32"/>
      <c r="D44" s="32"/>
      <c r="E44" s="32"/>
      <c r="F44" s="32">
        <f>F42+F43</f>
        <v>24140</v>
      </c>
      <c r="G44" s="32">
        <f t="shared" ref="G44:N44" si="5">G42+G43</f>
        <v>22215</v>
      </c>
      <c r="H44" s="32">
        <f t="shared" si="5"/>
        <v>23566.5</v>
      </c>
      <c r="I44" s="32">
        <f t="shared" si="5"/>
        <v>-204295</v>
      </c>
      <c r="J44" s="32">
        <f t="shared" si="5"/>
        <v>22318</v>
      </c>
      <c r="K44" s="32">
        <f t="shared" si="5"/>
        <v>21469.5</v>
      </c>
      <c r="L44" s="32">
        <f t="shared" si="5"/>
        <v>20070.5</v>
      </c>
      <c r="M44" s="32">
        <f t="shared" si="5"/>
        <v>23840.5</v>
      </c>
      <c r="N44" s="32">
        <f t="shared" si="5"/>
        <v>25667</v>
      </c>
      <c r="O44" s="32"/>
    </row>
    <row r="45" spans="2:15" ht="17.25" x14ac:dyDescent="0.4">
      <c r="B45" s="30" t="s">
        <v>88</v>
      </c>
      <c r="C45" s="31"/>
      <c r="D45" s="31"/>
      <c r="E45" s="31"/>
      <c r="F45" s="31">
        <f>F46-F44</f>
        <v>-4140</v>
      </c>
      <c r="G45" s="31">
        <f t="shared" ref="G45:N45" si="6">G46-G44</f>
        <v>-2215</v>
      </c>
      <c r="H45" s="31">
        <f t="shared" si="6"/>
        <v>-3566.5</v>
      </c>
      <c r="I45" s="31">
        <f t="shared" si="6"/>
        <v>224295</v>
      </c>
      <c r="J45" s="31">
        <f t="shared" si="6"/>
        <v>-2318</v>
      </c>
      <c r="K45" s="31">
        <f t="shared" si="6"/>
        <v>-1469.5</v>
      </c>
      <c r="L45" s="31">
        <f t="shared" si="6"/>
        <v>-70.5</v>
      </c>
      <c r="M45" s="31">
        <f t="shared" si="6"/>
        <v>-3840.5</v>
      </c>
      <c r="N45" s="31">
        <f t="shared" si="6"/>
        <v>-5667</v>
      </c>
    </row>
    <row r="46" spans="2:15" x14ac:dyDescent="0.25">
      <c r="B46" s="32" t="s">
        <v>89</v>
      </c>
      <c r="C46" s="32"/>
      <c r="D46" s="32"/>
      <c r="E46" s="32">
        <v>25000</v>
      </c>
      <c r="F46" s="32">
        <f>L26</f>
        <v>20000</v>
      </c>
      <c r="G46" s="32">
        <f>F46</f>
        <v>20000</v>
      </c>
      <c r="H46" s="32">
        <f t="shared" ref="H46:N46" si="7">G46</f>
        <v>20000</v>
      </c>
      <c r="I46" s="32">
        <f t="shared" si="7"/>
        <v>20000</v>
      </c>
      <c r="J46" s="32">
        <f t="shared" si="7"/>
        <v>20000</v>
      </c>
      <c r="K46" s="32">
        <f t="shared" si="7"/>
        <v>20000</v>
      </c>
      <c r="L46" s="32">
        <f t="shared" si="7"/>
        <v>20000</v>
      </c>
      <c r="M46" s="32">
        <f t="shared" si="7"/>
        <v>20000</v>
      </c>
      <c r="N46" s="32">
        <f t="shared" si="7"/>
        <v>20000</v>
      </c>
      <c r="O46" s="32"/>
    </row>
    <row r="47" spans="2:15" ht="6.95" customHeight="1" thickBot="1" x14ac:dyDescent="0.3">
      <c r="B47" s="28"/>
      <c r="C47" s="28"/>
      <c r="D47" s="28"/>
      <c r="E47" s="28"/>
      <c r="F47" s="28"/>
      <c r="G47" s="28"/>
      <c r="H47" s="28"/>
      <c r="I47" s="28"/>
      <c r="J47" s="28"/>
      <c r="K47" s="28"/>
      <c r="L47" s="28"/>
      <c r="M47" s="28"/>
      <c r="N47" s="28"/>
    </row>
    <row r="48" spans="2:15" ht="17.25" x14ac:dyDescent="0.4">
      <c r="B48" s="33" t="s">
        <v>129</v>
      </c>
      <c r="C48" s="32"/>
      <c r="D48" s="32"/>
      <c r="E48" s="29"/>
      <c r="F48" s="29">
        <f>F45</f>
        <v>-4140</v>
      </c>
      <c r="G48" s="29">
        <f>F48+G45</f>
        <v>-6355</v>
      </c>
      <c r="H48" s="29">
        <f t="shared" ref="H48:N48" si="8">G48+H45</f>
        <v>-9921.5</v>
      </c>
      <c r="I48" s="29">
        <f t="shared" si="8"/>
        <v>214373.5</v>
      </c>
      <c r="J48" s="29">
        <f t="shared" si="8"/>
        <v>212055.5</v>
      </c>
      <c r="K48" s="29">
        <f t="shared" si="8"/>
        <v>210586</v>
      </c>
      <c r="L48" s="29">
        <f t="shared" si="8"/>
        <v>210515.5</v>
      </c>
      <c r="M48" s="29">
        <f t="shared" si="8"/>
        <v>206675</v>
      </c>
      <c r="N48" s="29">
        <f t="shared" si="8"/>
        <v>201008</v>
      </c>
      <c r="O48" s="31"/>
    </row>
    <row r="49" spans="2:14" ht="15.75" thickBot="1" x14ac:dyDescent="0.3">
      <c r="B49" s="28"/>
      <c r="C49" s="28"/>
      <c r="D49" s="28"/>
      <c r="E49" s="29"/>
      <c r="F49" s="29"/>
      <c r="G49" s="29"/>
      <c r="H49" s="29"/>
      <c r="I49" s="29"/>
      <c r="J49" s="29"/>
      <c r="K49" s="29"/>
      <c r="L49" s="29"/>
      <c r="M49" s="29"/>
      <c r="N49" s="29"/>
    </row>
    <row r="50" spans="2:14" ht="19.5" thickBot="1" x14ac:dyDescent="0.3">
      <c r="B50" s="149" t="s">
        <v>109</v>
      </c>
      <c r="C50" s="149"/>
      <c r="D50" s="149"/>
      <c r="E50" s="149"/>
      <c r="F50" s="149"/>
      <c r="G50" s="149"/>
      <c r="H50" s="149"/>
      <c r="I50" s="149"/>
      <c r="J50" s="149"/>
      <c r="K50" s="149"/>
      <c r="L50" s="149"/>
      <c r="M50" s="149"/>
      <c r="N50" s="149"/>
    </row>
    <row r="51" spans="2:14" ht="15.75" thickBot="1" x14ac:dyDescent="0.3">
      <c r="B51" s="36"/>
      <c r="C51" s="37"/>
      <c r="D51" s="37"/>
      <c r="E51" s="37" t="s">
        <v>75</v>
      </c>
      <c r="F51" s="37" t="s">
        <v>76</v>
      </c>
      <c r="G51" s="37" t="s">
        <v>77</v>
      </c>
      <c r="H51" s="37" t="s">
        <v>78</v>
      </c>
      <c r="I51" s="37" t="s">
        <v>79</v>
      </c>
      <c r="J51" s="37" t="s">
        <v>80</v>
      </c>
      <c r="K51" s="37" t="s">
        <v>81</v>
      </c>
      <c r="L51" s="37" t="s">
        <v>82</v>
      </c>
      <c r="M51" s="37" t="s">
        <v>83</v>
      </c>
      <c r="N51" s="37" t="s">
        <v>84</v>
      </c>
    </row>
    <row r="52" spans="2:14" ht="24.95" customHeight="1" x14ac:dyDescent="0.25">
      <c r="B52" s="29" t="s">
        <v>90</v>
      </c>
      <c r="C52" s="29"/>
      <c r="D52" s="29"/>
      <c r="E52" s="29">
        <v>0</v>
      </c>
      <c r="F52" s="29">
        <f t="shared" ref="F52:N52" si="9">IF(F48&gt;0,F48,0)</f>
        <v>0</v>
      </c>
      <c r="G52" s="29">
        <f t="shared" si="9"/>
        <v>0</v>
      </c>
      <c r="H52" s="29">
        <f t="shared" si="9"/>
        <v>0</v>
      </c>
      <c r="I52" s="29">
        <f t="shared" si="9"/>
        <v>214373.5</v>
      </c>
      <c r="J52" s="29">
        <f t="shared" si="9"/>
        <v>212055.5</v>
      </c>
      <c r="K52" s="29">
        <f t="shared" si="9"/>
        <v>210586</v>
      </c>
      <c r="L52" s="29">
        <f t="shared" si="9"/>
        <v>210515.5</v>
      </c>
      <c r="M52" s="29">
        <f t="shared" si="9"/>
        <v>206675</v>
      </c>
      <c r="N52" s="29">
        <f t="shared" si="9"/>
        <v>201008</v>
      </c>
    </row>
    <row r="53" spans="2:14" x14ac:dyDescent="0.25">
      <c r="B53" s="29" t="s">
        <v>91</v>
      </c>
      <c r="C53" s="29"/>
      <c r="D53" s="29"/>
      <c r="E53" s="29">
        <v>0</v>
      </c>
      <c r="F53" s="29">
        <f t="shared" ref="F53:N53" si="10">IF(F48&lt;0,-F48,0)</f>
        <v>4140</v>
      </c>
      <c r="G53" s="29">
        <f t="shared" si="10"/>
        <v>6355</v>
      </c>
      <c r="H53" s="29">
        <f t="shared" si="10"/>
        <v>9921.5</v>
      </c>
      <c r="I53" s="29">
        <f t="shared" si="10"/>
        <v>0</v>
      </c>
      <c r="J53" s="29">
        <f t="shared" si="10"/>
        <v>0</v>
      </c>
      <c r="K53" s="29">
        <f t="shared" si="10"/>
        <v>0</v>
      </c>
      <c r="L53" s="29">
        <f t="shared" si="10"/>
        <v>0</v>
      </c>
      <c r="M53" s="29">
        <f t="shared" si="10"/>
        <v>0</v>
      </c>
      <c r="N53" s="29">
        <f t="shared" si="10"/>
        <v>0</v>
      </c>
    </row>
    <row r="54" spans="2:14" ht="5.45" customHeight="1" thickBot="1" x14ac:dyDescent="0.3">
      <c r="B54" s="28"/>
      <c r="C54" s="28"/>
      <c r="D54" s="28"/>
      <c r="E54" s="28"/>
      <c r="F54" s="28"/>
      <c r="G54" s="28"/>
      <c r="H54" s="28"/>
      <c r="I54" s="28"/>
      <c r="J54" s="28"/>
      <c r="K54" s="28"/>
      <c r="L54" s="28"/>
      <c r="M54" s="28"/>
      <c r="N54" s="28"/>
    </row>
    <row r="55" spans="2:14" ht="5.45" customHeight="1" thickBot="1" x14ac:dyDescent="0.3">
      <c r="B55" s="28"/>
      <c r="C55" s="28"/>
      <c r="D55" s="28"/>
      <c r="E55" s="28"/>
      <c r="F55" s="28"/>
      <c r="G55" s="28"/>
      <c r="H55" s="28"/>
      <c r="I55" s="28"/>
      <c r="J55" s="28"/>
      <c r="K55" s="28"/>
      <c r="L55" s="28"/>
      <c r="M55" s="28"/>
      <c r="N55" s="28"/>
    </row>
  </sheetData>
  <scenarios current="2" show="0" sqref="F43:N43">
    <scenario name="Good" locked="1" count="3" user="Veta" comment="Created by Del on 9/22/2011_x000a_Modified by D Hawley on 9/22/2013_x000a_Modified by Del on 6/9/2014_x000a_Modified by Del Hawley on 2/16/2015_x000a_Modified by Del Hawley on 6/12/2016_x000a_Modified by Del Hawley on 2/19/2018_x000a_Modified by Hawley, Del on 7/2/2018_x000a_Modified by Hawle">
      <inputCells r="F22" val="0.3" numFmtId="9"/>
      <inputCells r="F23" val="0.6" numFmtId="9"/>
      <inputCells r="F24" val="0.1" numFmtId="9"/>
    </scenario>
    <scenario name="Normal" locked="1" count="3" user="Veta" comment="Created by Del on 9/22/2011_x000a_Modified by Del on 6/9/2012_x000a_Modified by D Hawley on 9/22/2013_x000a_Modified by Del on 6/9/2014_x000a_Modified by Del Hawley on 2/16/2015_x000a_Modified by Del Hawley on 6/12/2016_x000a_Modified by Hawley, Del on 7/2/2018_x000a_Modified by Del Hawley on">
      <inputCells r="F22" val="0.6" numFmtId="9"/>
      <inputCells r="F23" val="0.15" numFmtId="9"/>
      <inputCells r="F24" val="0.25" numFmtId="9"/>
    </scenario>
    <scenario name="Bad" locked="1" count="3" user="Veta" comment="Created by Del on 9/22/2011_x000a_Modified by D Hawley on 9/22/2013_x000a_Modified by Del on 6/9/2014_x000a_Modified by Del Hawley on 2/16/2015_x000a_Modified by Del Hawley on 6/12/2016_x000a_Modified by Del Hawley on 2/19/2018_x000a_Modified by Hawley, Del on 7/2/2018_x000a_Modified by Hawle">
      <inputCells r="F22" val="0.1" numFmtId="9"/>
      <inputCells r="F23" val="0.65" numFmtId="9"/>
      <inputCells r="F24" val="0.25" numFmtId="9"/>
    </scenario>
  </scenarios>
  <mergeCells count="3">
    <mergeCell ref="B20:N20"/>
    <mergeCell ref="B40:N40"/>
    <mergeCell ref="B50:N50"/>
  </mergeCells>
  <conditionalFormatting sqref="F43:N43">
    <cfRule type="cellIs" dxfId="0" priority="1" operator="lessThan">
      <formula>0</formula>
    </cfRule>
  </conditionalFormatting>
  <dataValidations count="1">
    <dataValidation type="list" allowBlank="1" showInputMessage="1" showErrorMessage="1" sqref="L24" xr:uid="{00000000-0002-0000-0300-000000000000}">
      <formula1>$T$23:$T$26</formula1>
    </dataValidation>
  </dataValidations>
  <pageMargins left="0.7" right="0.7" top="0.75" bottom="0.75" header="0.3" footer="0.3"/>
  <pageSetup scale="8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heetPr>
  <dimension ref="B1:G21"/>
  <sheetViews>
    <sheetView showGridLines="0" workbookViewId="0"/>
  </sheetViews>
  <sheetFormatPr defaultRowHeight="15" outlineLevelRow="1" outlineLevelCol="1" x14ac:dyDescent="0.25"/>
  <cols>
    <col min="3" max="3" width="7.7109375" customWidth="1"/>
    <col min="4" max="7" width="13.140625" bestFit="1" customWidth="1" outlineLevel="1"/>
  </cols>
  <sheetData>
    <row r="1" spans="2:7" ht="15.75" thickBot="1" x14ac:dyDescent="0.3"/>
    <row r="2" spans="2:7" ht="15.75" x14ac:dyDescent="0.25">
      <c r="B2" s="133" t="s">
        <v>145</v>
      </c>
      <c r="C2" s="133"/>
      <c r="D2" s="49"/>
      <c r="E2" s="49"/>
      <c r="F2" s="49"/>
      <c r="G2" s="49"/>
    </row>
    <row r="3" spans="2:7" ht="15.75" collapsed="1" x14ac:dyDescent="0.25">
      <c r="B3" s="132"/>
      <c r="C3" s="132"/>
      <c r="D3" s="50" t="s">
        <v>147</v>
      </c>
      <c r="E3" s="50" t="s">
        <v>142</v>
      </c>
      <c r="F3" s="50" t="s">
        <v>143</v>
      </c>
      <c r="G3" s="50" t="s">
        <v>144</v>
      </c>
    </row>
    <row r="4" spans="2:7" ht="236.25" hidden="1" outlineLevel="1" x14ac:dyDescent="0.25">
      <c r="B4" s="134"/>
      <c r="C4" s="134"/>
      <c r="D4" s="121"/>
      <c r="E4" s="127" t="s">
        <v>191</v>
      </c>
      <c r="F4" s="127" t="s">
        <v>192</v>
      </c>
      <c r="G4" s="127" t="s">
        <v>191</v>
      </c>
    </row>
    <row r="5" spans="2:7" x14ac:dyDescent="0.25">
      <c r="B5" s="135" t="s">
        <v>146</v>
      </c>
      <c r="C5" s="135"/>
      <c r="D5" s="125"/>
      <c r="E5" s="125"/>
      <c r="F5" s="125"/>
      <c r="G5" s="125"/>
    </row>
    <row r="6" spans="2:7" outlineLevel="1" x14ac:dyDescent="0.25">
      <c r="B6" s="134"/>
      <c r="C6" s="134" t="s">
        <v>130</v>
      </c>
      <c r="D6" s="122">
        <v>0.6</v>
      </c>
      <c r="E6" s="126">
        <v>0.3</v>
      </c>
      <c r="F6" s="126">
        <v>0.6</v>
      </c>
      <c r="G6" s="126">
        <v>0.1</v>
      </c>
    </row>
    <row r="7" spans="2:7" outlineLevel="1" x14ac:dyDescent="0.25">
      <c r="B7" s="134"/>
      <c r="C7" s="134" t="s">
        <v>131</v>
      </c>
      <c r="D7" s="122">
        <v>0.15</v>
      </c>
      <c r="E7" s="126">
        <v>0.6</v>
      </c>
      <c r="F7" s="126">
        <v>0.15</v>
      </c>
      <c r="G7" s="126">
        <v>0.65</v>
      </c>
    </row>
    <row r="8" spans="2:7" outlineLevel="1" x14ac:dyDescent="0.25">
      <c r="B8" s="134"/>
      <c r="C8" s="134" t="s">
        <v>132</v>
      </c>
      <c r="D8" s="122">
        <v>0.25</v>
      </c>
      <c r="E8" s="126">
        <v>0.1</v>
      </c>
      <c r="F8" s="126">
        <v>0.25</v>
      </c>
      <c r="G8" s="126">
        <v>0.25</v>
      </c>
    </row>
    <row r="9" spans="2:7" x14ac:dyDescent="0.25">
      <c r="B9" s="135" t="s">
        <v>148</v>
      </c>
      <c r="C9" s="135"/>
      <c r="D9" s="125"/>
      <c r="E9" s="125"/>
      <c r="F9" s="125"/>
      <c r="G9" s="125"/>
    </row>
    <row r="10" spans="2:7" outlineLevel="1" x14ac:dyDescent="0.25">
      <c r="B10" s="134"/>
      <c r="C10" s="134" t="s">
        <v>133</v>
      </c>
      <c r="D10" s="123">
        <v>-860</v>
      </c>
      <c r="E10" s="123">
        <v>-1410.5</v>
      </c>
      <c r="F10" s="123">
        <v>-860</v>
      </c>
      <c r="G10" s="123">
        <v>-2210</v>
      </c>
    </row>
    <row r="11" spans="2:7" outlineLevel="1" x14ac:dyDescent="0.25">
      <c r="B11" s="134"/>
      <c r="C11" s="134" t="s">
        <v>134</v>
      </c>
      <c r="D11" s="123">
        <v>2215</v>
      </c>
      <c r="E11" s="123">
        <v>2275</v>
      </c>
      <c r="F11" s="123">
        <v>2215</v>
      </c>
      <c r="G11" s="123">
        <v>1640</v>
      </c>
    </row>
    <row r="12" spans="2:7" outlineLevel="1" x14ac:dyDescent="0.25">
      <c r="B12" s="134"/>
      <c r="C12" s="134" t="s">
        <v>135</v>
      </c>
      <c r="D12" s="123">
        <v>3566.5</v>
      </c>
      <c r="E12" s="123">
        <v>3307</v>
      </c>
      <c r="F12" s="123">
        <v>3566.5</v>
      </c>
      <c r="G12" s="123">
        <v>2846.5</v>
      </c>
    </row>
    <row r="13" spans="2:7" outlineLevel="1" x14ac:dyDescent="0.25">
      <c r="B13" s="134"/>
      <c r="C13" s="134" t="s">
        <v>136</v>
      </c>
      <c r="D13" s="123">
        <v>-224295</v>
      </c>
      <c r="E13" s="123">
        <v>-222879</v>
      </c>
      <c r="F13" s="123">
        <v>-224295</v>
      </c>
      <c r="G13" s="123">
        <v>-222295</v>
      </c>
    </row>
    <row r="14" spans="2:7" outlineLevel="1" x14ac:dyDescent="0.25">
      <c r="B14" s="134"/>
      <c r="C14" s="134" t="s">
        <v>137</v>
      </c>
      <c r="D14" s="123">
        <v>2318</v>
      </c>
      <c r="E14" s="123">
        <v>1814</v>
      </c>
      <c r="F14" s="123">
        <v>2318</v>
      </c>
      <c r="G14" s="123">
        <v>2478</v>
      </c>
    </row>
    <row r="15" spans="2:7" outlineLevel="1" x14ac:dyDescent="0.25">
      <c r="B15" s="134"/>
      <c r="C15" s="134" t="s">
        <v>138</v>
      </c>
      <c r="D15" s="123">
        <v>1469.5</v>
      </c>
      <c r="E15" s="123">
        <v>1250.5</v>
      </c>
      <c r="F15" s="123">
        <v>1469.5</v>
      </c>
      <c r="G15" s="123">
        <v>1184.5</v>
      </c>
    </row>
    <row r="16" spans="2:7" outlineLevel="1" x14ac:dyDescent="0.25">
      <c r="B16" s="134"/>
      <c r="C16" s="134" t="s">
        <v>139</v>
      </c>
      <c r="D16" s="123">
        <v>70.5</v>
      </c>
      <c r="E16" s="123">
        <v>-363</v>
      </c>
      <c r="F16" s="123">
        <v>70.5</v>
      </c>
      <c r="G16" s="123">
        <v>-794.5</v>
      </c>
    </row>
    <row r="17" spans="2:7" outlineLevel="1" x14ac:dyDescent="0.25">
      <c r="B17" s="134"/>
      <c r="C17" s="134" t="s">
        <v>140</v>
      </c>
      <c r="D17" s="123">
        <v>3840.5</v>
      </c>
      <c r="E17" s="123">
        <v>2936</v>
      </c>
      <c r="F17" s="123">
        <v>3840.5</v>
      </c>
      <c r="G17" s="123">
        <v>1900.5</v>
      </c>
    </row>
    <row r="18" spans="2:7" ht="15.75" outlineLevel="1" thickBot="1" x14ac:dyDescent="0.3">
      <c r="B18" s="136"/>
      <c r="C18" s="136" t="s">
        <v>141</v>
      </c>
      <c r="D18" s="124">
        <v>5667</v>
      </c>
      <c r="E18" s="124">
        <v>5553</v>
      </c>
      <c r="F18" s="124">
        <v>5667</v>
      </c>
      <c r="G18" s="124">
        <v>4507</v>
      </c>
    </row>
    <row r="19" spans="2:7" x14ac:dyDescent="0.25">
      <c r="B19" t="s">
        <v>149</v>
      </c>
    </row>
    <row r="20" spans="2:7" x14ac:dyDescent="0.25">
      <c r="B20" t="s">
        <v>150</v>
      </c>
    </row>
    <row r="21" spans="2:7" x14ac:dyDescent="0.25">
      <c r="B21" t="s">
        <v>151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J5:S7"/>
  <sheetViews>
    <sheetView showGridLines="0" workbookViewId="0">
      <selection activeCell="M23" sqref="M23"/>
    </sheetView>
  </sheetViews>
  <sheetFormatPr defaultRowHeight="15" x14ac:dyDescent="0.25"/>
  <cols>
    <col min="10" max="10" width="17.28515625" customWidth="1"/>
    <col min="11" max="19" width="12" customWidth="1"/>
  </cols>
  <sheetData>
    <row r="5" spans="10:19" x14ac:dyDescent="0.25">
      <c r="K5" t="s">
        <v>152</v>
      </c>
      <c r="L5" t="s">
        <v>153</v>
      </c>
      <c r="M5" t="s">
        <v>154</v>
      </c>
      <c r="N5" t="s">
        <v>155</v>
      </c>
      <c r="O5" t="s">
        <v>156</v>
      </c>
      <c r="P5" t="s">
        <v>157</v>
      </c>
      <c r="Q5" t="s">
        <v>158</v>
      </c>
      <c r="R5" t="s">
        <v>159</v>
      </c>
      <c r="S5" t="s">
        <v>160</v>
      </c>
    </row>
    <row r="6" spans="10:19" x14ac:dyDescent="0.25">
      <c r="J6" t="s">
        <v>162</v>
      </c>
      <c r="K6" s="29">
        <f>-'Prob 2 - 30 Pts '!F52</f>
        <v>0</v>
      </c>
      <c r="L6" s="29">
        <f>-'Prob 2 - 30 Pts '!G52</f>
        <v>0</v>
      </c>
      <c r="M6" s="29">
        <f>-'Prob 2 - 30 Pts '!H52</f>
        <v>0</v>
      </c>
      <c r="N6" s="29">
        <f>-'Prob 2 - 30 Pts '!I52</f>
        <v>-214373.5</v>
      </c>
      <c r="O6" s="29">
        <f>-'Prob 2 - 30 Pts '!J52</f>
        <v>-212055.5</v>
      </c>
      <c r="P6" s="29">
        <f>-'Prob 2 - 30 Pts '!K52</f>
        <v>-210586</v>
      </c>
      <c r="Q6" s="29">
        <f>-'Prob 2 - 30 Pts '!L52</f>
        <v>-210515.5</v>
      </c>
      <c r="R6" s="29">
        <f>-'Prob 2 - 30 Pts '!M52</f>
        <v>-206675</v>
      </c>
      <c r="S6" s="29">
        <f>-'Prob 2 - 30 Pts '!N52</f>
        <v>-201008</v>
      </c>
    </row>
    <row r="7" spans="10:19" x14ac:dyDescent="0.25">
      <c r="J7" t="s">
        <v>161</v>
      </c>
      <c r="K7" s="29">
        <f>'Prob 2 - 30 Pts '!F53</f>
        <v>4140</v>
      </c>
      <c r="L7" s="29">
        <f>'Prob 2 - 30 Pts '!G53</f>
        <v>6355</v>
      </c>
      <c r="M7" s="29">
        <f>'Prob 2 - 30 Pts '!H53</f>
        <v>9921.5</v>
      </c>
      <c r="N7" s="29">
        <f>'Prob 2 - 30 Pts '!I53</f>
        <v>0</v>
      </c>
      <c r="O7" s="29">
        <f>'Prob 2 - 30 Pts '!J53</f>
        <v>0</v>
      </c>
      <c r="P7" s="29">
        <f>'Prob 2 - 30 Pts '!K53</f>
        <v>0</v>
      </c>
      <c r="Q7" s="29">
        <f>'Prob 2 - 30 Pts '!L53</f>
        <v>0</v>
      </c>
      <c r="R7" s="29">
        <f>'Prob 2 - 30 Pts '!M53</f>
        <v>0</v>
      </c>
      <c r="S7" s="29">
        <f>'Prob 2 - 30 Pts '!N53</f>
        <v>0</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E30"/>
  <sheetViews>
    <sheetView zoomScale="130" zoomScaleNormal="130" workbookViewId="0"/>
  </sheetViews>
  <sheetFormatPr defaultColWidth="9.140625" defaultRowHeight="15" x14ac:dyDescent="0.25"/>
  <cols>
    <col min="1" max="1" width="9.140625" style="9"/>
    <col min="2" max="3" width="11.5703125" style="9" customWidth="1"/>
    <col min="4" max="4" width="13.7109375" style="9" customWidth="1"/>
    <col min="5" max="5" width="14.28515625" style="9" customWidth="1"/>
    <col min="6" max="16384" width="9.140625" style="9"/>
  </cols>
  <sheetData>
    <row r="3" spans="2:5" ht="86.25" customHeight="1" x14ac:dyDescent="0.25"/>
    <row r="5" spans="2:5" ht="15.75" thickBot="1" x14ac:dyDescent="0.3"/>
    <row r="6" spans="2:5" ht="52.5" customHeight="1" thickBot="1" x14ac:dyDescent="0.3">
      <c r="B6" s="86" t="s">
        <v>166</v>
      </c>
      <c r="C6" s="87" t="s">
        <v>172</v>
      </c>
      <c r="D6" s="87" t="s">
        <v>167</v>
      </c>
      <c r="E6" s="88" t="s">
        <v>168</v>
      </c>
    </row>
    <row r="7" spans="2:5" x14ac:dyDescent="0.25">
      <c r="B7" s="83">
        <v>2004</v>
      </c>
      <c r="C7" s="84">
        <v>9.44</v>
      </c>
      <c r="D7" s="85"/>
      <c r="E7" s="85"/>
    </row>
    <row r="8" spans="2:5" x14ac:dyDescent="0.25">
      <c r="B8" s="79">
        <v>2005</v>
      </c>
      <c r="C8" s="77">
        <v>9.85</v>
      </c>
      <c r="D8" s="78">
        <f>C8/C7-1</f>
        <v>4.3432203389830448E-2</v>
      </c>
      <c r="E8" s="80">
        <f>1+D8</f>
        <v>1.0434322033898304</v>
      </c>
    </row>
    <row r="9" spans="2:5" x14ac:dyDescent="0.25">
      <c r="B9" s="79">
        <v>2006</v>
      </c>
      <c r="C9" s="77">
        <v>10.25</v>
      </c>
      <c r="D9" s="78">
        <f t="shared" ref="D9:D10" si="0">C9/C8-1</f>
        <v>4.0609137055837685E-2</v>
      </c>
      <c r="E9" s="80">
        <f t="shared" ref="E9:E10" si="1">1+D9</f>
        <v>1.0406091370558377</v>
      </c>
    </row>
    <row r="10" spans="2:5" x14ac:dyDescent="0.25">
      <c r="B10" s="79">
        <v>2007</v>
      </c>
      <c r="C10" s="77">
        <v>11.75</v>
      </c>
      <c r="D10" s="78">
        <f t="shared" si="0"/>
        <v>0.14634146341463405</v>
      </c>
      <c r="E10" s="80">
        <f t="shared" si="1"/>
        <v>1.1463414634146341</v>
      </c>
    </row>
    <row r="11" spans="2:5" x14ac:dyDescent="0.25">
      <c r="B11" s="79">
        <v>2008</v>
      </c>
      <c r="C11" s="77">
        <v>12.95</v>
      </c>
      <c r="D11" s="78">
        <f t="shared" ref="D11:D21" si="2">C11/C10-1</f>
        <v>0.10212765957446801</v>
      </c>
      <c r="E11" s="80">
        <f t="shared" ref="E11:E21" si="3">1+D11</f>
        <v>1.102127659574468</v>
      </c>
    </row>
    <row r="12" spans="2:5" x14ac:dyDescent="0.25">
      <c r="B12" s="79">
        <v>2009</v>
      </c>
      <c r="C12" s="77">
        <v>6.25</v>
      </c>
      <c r="D12" s="78">
        <f t="shared" si="2"/>
        <v>-0.51737451737451734</v>
      </c>
      <c r="E12" s="80">
        <f t="shared" si="3"/>
        <v>0.48262548262548266</v>
      </c>
    </row>
    <row r="13" spans="2:5" x14ac:dyDescent="0.25">
      <c r="B13" s="79">
        <v>2010</v>
      </c>
      <c r="C13" s="77">
        <v>6.5</v>
      </c>
      <c r="D13" s="78">
        <f t="shared" si="2"/>
        <v>4.0000000000000036E-2</v>
      </c>
      <c r="E13" s="80">
        <f t="shared" si="3"/>
        <v>1.04</v>
      </c>
    </row>
    <row r="14" spans="2:5" x14ac:dyDescent="0.25">
      <c r="B14" s="79">
        <v>2011</v>
      </c>
      <c r="C14" s="77">
        <v>7.85</v>
      </c>
      <c r="D14" s="78">
        <f t="shared" si="2"/>
        <v>0.20769230769230762</v>
      </c>
      <c r="E14" s="80">
        <f t="shared" si="3"/>
        <v>1.2076923076923076</v>
      </c>
    </row>
    <row r="15" spans="2:5" x14ac:dyDescent="0.25">
      <c r="B15" s="79">
        <v>2012</v>
      </c>
      <c r="C15" s="77">
        <v>8.6199999999999992</v>
      </c>
      <c r="D15" s="78">
        <f t="shared" si="2"/>
        <v>9.8089171974522271E-2</v>
      </c>
      <c r="E15" s="80">
        <f t="shared" si="3"/>
        <v>1.0980891719745223</v>
      </c>
    </row>
    <row r="16" spans="2:5" x14ac:dyDescent="0.25">
      <c r="B16" s="111">
        <v>2013</v>
      </c>
      <c r="C16" s="112">
        <v>9.77</v>
      </c>
      <c r="D16" s="78">
        <f t="shared" si="2"/>
        <v>0.13341067285382846</v>
      </c>
      <c r="E16" s="80">
        <f t="shared" si="3"/>
        <v>1.1334106728538285</v>
      </c>
    </row>
    <row r="17" spans="2:5" x14ac:dyDescent="0.25">
      <c r="B17" s="111">
        <v>2014</v>
      </c>
      <c r="C17" s="112">
        <v>12.5</v>
      </c>
      <c r="D17" s="78">
        <f t="shared" si="2"/>
        <v>0.27942681678607983</v>
      </c>
      <c r="E17" s="80">
        <f t="shared" si="3"/>
        <v>1.2794268167860798</v>
      </c>
    </row>
    <row r="18" spans="2:5" x14ac:dyDescent="0.25">
      <c r="B18" s="111">
        <v>2015</v>
      </c>
      <c r="C18" s="112">
        <v>13.95</v>
      </c>
      <c r="D18" s="78">
        <f t="shared" si="2"/>
        <v>0.11599999999999988</v>
      </c>
      <c r="E18" s="80">
        <f t="shared" si="3"/>
        <v>1.1159999999999999</v>
      </c>
    </row>
    <row r="19" spans="2:5" x14ac:dyDescent="0.25">
      <c r="B19" s="111">
        <v>2016</v>
      </c>
      <c r="C19" s="112">
        <v>15.6</v>
      </c>
      <c r="D19" s="78">
        <f t="shared" si="2"/>
        <v>0.11827956989247324</v>
      </c>
      <c r="E19" s="80">
        <f t="shared" si="3"/>
        <v>1.1182795698924732</v>
      </c>
    </row>
    <row r="20" spans="2:5" x14ac:dyDescent="0.25">
      <c r="B20" s="111">
        <v>2017</v>
      </c>
      <c r="C20" s="112">
        <v>16.98</v>
      </c>
      <c r="D20" s="78">
        <f t="shared" si="2"/>
        <v>8.8461538461538591E-2</v>
      </c>
      <c r="E20" s="80">
        <f t="shared" si="3"/>
        <v>1.0884615384615386</v>
      </c>
    </row>
    <row r="21" spans="2:5" x14ac:dyDescent="0.25">
      <c r="B21" s="111">
        <v>2018</v>
      </c>
      <c r="C21" s="112">
        <v>19.68</v>
      </c>
      <c r="D21" s="78">
        <f t="shared" si="2"/>
        <v>0.1590106007067138</v>
      </c>
      <c r="E21" s="80">
        <f t="shared" si="3"/>
        <v>1.1590106007067138</v>
      </c>
    </row>
    <row r="22" spans="2:5" x14ac:dyDescent="0.25">
      <c r="B22" s="111">
        <v>2019</v>
      </c>
      <c r="C22" s="112">
        <v>18.420000000000002</v>
      </c>
      <c r="D22" s="78">
        <f t="shared" ref="D22:D23" si="4">C22/C21-1</f>
        <v>-6.4024390243902385E-2</v>
      </c>
      <c r="E22" s="80">
        <f t="shared" ref="E22:E23" si="5">1+D22</f>
        <v>0.93597560975609762</v>
      </c>
    </row>
    <row r="23" spans="2:5" ht="15.75" thickBot="1" x14ac:dyDescent="0.3">
      <c r="B23" s="81">
        <v>2020</v>
      </c>
      <c r="C23" s="82">
        <v>16.260000000000002</v>
      </c>
      <c r="D23" s="78">
        <f t="shared" si="4"/>
        <v>-0.11726384364820852</v>
      </c>
      <c r="E23" s="80">
        <f t="shared" si="5"/>
        <v>0.88273615635179148</v>
      </c>
    </row>
    <row r="24" spans="2:5" ht="8.25" customHeight="1" x14ac:dyDescent="0.25">
      <c r="B24" s="89"/>
      <c r="C24" s="90"/>
      <c r="D24" s="90"/>
      <c r="E24" s="91"/>
    </row>
    <row r="25" spans="2:5" x14ac:dyDescent="0.25">
      <c r="B25" s="97" t="s">
        <v>169</v>
      </c>
      <c r="E25" s="92"/>
    </row>
    <row r="26" spans="2:5" ht="3.75" customHeight="1" thickBot="1" x14ac:dyDescent="0.3">
      <c r="B26" s="93"/>
      <c r="C26" s="150"/>
      <c r="D26" s="150"/>
      <c r="E26" s="92"/>
    </row>
    <row r="27" spans="2:5" ht="15.75" thickBot="1" x14ac:dyDescent="0.3">
      <c r="B27" s="93"/>
      <c r="C27" s="98">
        <f>GEOMEAN(E8:E23)-1</f>
        <v>3.456857880645825E-2</v>
      </c>
      <c r="D27" s="9" t="s">
        <v>170</v>
      </c>
      <c r="E27" s="92"/>
    </row>
    <row r="28" spans="2:5" ht="6.75" customHeight="1" thickBot="1" x14ac:dyDescent="0.3">
      <c r="B28" s="93"/>
      <c r="C28" s="99"/>
      <c r="E28" s="92"/>
    </row>
    <row r="29" spans="2:5" ht="15.75" thickBot="1" x14ac:dyDescent="0.3">
      <c r="B29" s="93"/>
      <c r="C29" s="98">
        <f>(PRODUCT(E8:E23)^(1/16))-1</f>
        <v>3.456857880645825E-2</v>
      </c>
      <c r="D29" s="9" t="s">
        <v>171</v>
      </c>
      <c r="E29" s="92"/>
    </row>
    <row r="30" spans="2:5" ht="6.75" customHeight="1" thickBot="1" x14ac:dyDescent="0.3">
      <c r="B30" s="94"/>
      <c r="C30" s="95"/>
      <c r="D30" s="95"/>
      <c r="E30" s="96"/>
    </row>
  </sheetData>
  <mergeCells count="1">
    <mergeCell ref="C26:D2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Q67"/>
  <sheetViews>
    <sheetView showGridLines="0" zoomScale="115" zoomScaleNormal="115" workbookViewId="0"/>
  </sheetViews>
  <sheetFormatPr defaultRowHeight="15" x14ac:dyDescent="0.25"/>
  <cols>
    <col min="1" max="2" width="3.85546875" customWidth="1"/>
    <col min="3" max="3" width="10.42578125" customWidth="1"/>
    <col min="4" max="4" width="2.85546875" customWidth="1"/>
    <col min="5" max="5" width="2.7109375" customWidth="1"/>
    <col min="6" max="6" width="6" style="64" customWidth="1"/>
  </cols>
  <sheetData>
    <row r="2" spans="2:17" ht="139.5" customHeight="1" x14ac:dyDescent="0.25"/>
    <row r="3" spans="2:17" ht="15.75" thickBot="1" x14ac:dyDescent="0.3">
      <c r="B3" s="1"/>
      <c r="C3" s="101"/>
      <c r="D3" s="1"/>
      <c r="E3" s="1"/>
      <c r="F3" s="102"/>
      <c r="G3" s="1"/>
      <c r="H3" s="1"/>
      <c r="I3" s="1"/>
      <c r="J3" s="1"/>
      <c r="K3" s="1"/>
      <c r="L3" s="1"/>
      <c r="M3" s="1"/>
      <c r="N3" s="1"/>
      <c r="O3" s="1"/>
      <c r="P3" s="1"/>
      <c r="Q3" s="1"/>
    </row>
    <row r="4" spans="2:17" ht="103.15" customHeight="1" thickBot="1" x14ac:dyDescent="0.3">
      <c r="B4" s="103"/>
      <c r="C4" s="104" t="s">
        <v>119</v>
      </c>
      <c r="D4" s="151" t="s">
        <v>183</v>
      </c>
      <c r="E4" s="151"/>
      <c r="F4" s="151"/>
      <c r="G4" s="151"/>
      <c r="H4" s="151"/>
      <c r="I4" s="151"/>
      <c r="J4" s="151"/>
      <c r="K4" s="151"/>
      <c r="L4" s="151"/>
      <c r="M4" s="151"/>
      <c r="N4" s="151"/>
      <c r="O4" s="103"/>
      <c r="P4" s="103"/>
      <c r="Q4" s="103"/>
    </row>
    <row r="5" spans="2:17" ht="15.75" thickBot="1" x14ac:dyDescent="0.3"/>
    <row r="6" spans="2:17" ht="15.75" thickBot="1" x14ac:dyDescent="0.3">
      <c r="C6" s="69" t="s">
        <v>216</v>
      </c>
      <c r="D6" s="66" t="s">
        <v>200</v>
      </c>
    </row>
    <row r="7" spans="2:17" ht="8.4499999999999993" customHeight="1" x14ac:dyDescent="0.25">
      <c r="C7" s="68"/>
      <c r="D7" s="66"/>
    </row>
    <row r="8" spans="2:17" ht="14.25" customHeight="1" x14ac:dyDescent="0.25">
      <c r="C8" s="68"/>
      <c r="D8" s="65" t="s">
        <v>174</v>
      </c>
    </row>
    <row r="9" spans="2:17" x14ac:dyDescent="0.25">
      <c r="C9" s="68"/>
      <c r="D9" s="65" t="s">
        <v>184</v>
      </c>
    </row>
    <row r="10" spans="2:17" x14ac:dyDescent="0.25">
      <c r="C10" s="68"/>
      <c r="D10" s="65" t="s">
        <v>185</v>
      </c>
    </row>
    <row r="11" spans="2:17" x14ac:dyDescent="0.25">
      <c r="C11" s="68"/>
      <c r="D11" s="65" t="s">
        <v>186</v>
      </c>
    </row>
    <row r="12" spans="2:17" x14ac:dyDescent="0.25">
      <c r="C12" s="68"/>
      <c r="D12" s="65" t="s">
        <v>118</v>
      </c>
    </row>
    <row r="13" spans="2:17" ht="15.75" thickBot="1" x14ac:dyDescent="0.3">
      <c r="C13" s="68"/>
    </row>
    <row r="14" spans="2:17" ht="15.75" thickBot="1" x14ac:dyDescent="0.3">
      <c r="C14" s="69" t="s">
        <v>199</v>
      </c>
      <c r="D14" s="66" t="s">
        <v>201</v>
      </c>
    </row>
    <row r="15" spans="2:17" ht="9.6" customHeight="1" x14ac:dyDescent="0.25">
      <c r="D15" s="66"/>
    </row>
    <row r="16" spans="2:17" x14ac:dyDescent="0.25">
      <c r="D16" s="65" t="s">
        <v>187</v>
      </c>
    </row>
    <row r="17" spans="2:17" x14ac:dyDescent="0.25">
      <c r="D17" s="65" t="s">
        <v>179</v>
      </c>
    </row>
    <row r="18" spans="2:17" ht="15.75" customHeight="1" x14ac:dyDescent="0.25">
      <c r="D18" s="65" t="s">
        <v>202</v>
      </c>
    </row>
    <row r="19" spans="2:17" x14ac:dyDescent="0.25">
      <c r="D19" s="65" t="s">
        <v>203</v>
      </c>
    </row>
    <row r="20" spans="2:17" x14ac:dyDescent="0.25">
      <c r="D20" s="65" t="s">
        <v>204</v>
      </c>
    </row>
    <row r="21" spans="2:17" ht="15.75" thickBot="1" x14ac:dyDescent="0.3">
      <c r="D21" s="65"/>
    </row>
    <row r="22" spans="2:17" ht="15.75" thickBot="1" x14ac:dyDescent="0.3">
      <c r="C22" s="69" t="s">
        <v>207</v>
      </c>
      <c r="D22" s="66" t="s">
        <v>180</v>
      </c>
    </row>
    <row r="23" spans="2:17" ht="9" customHeight="1" x14ac:dyDescent="0.25">
      <c r="C23" s="68"/>
      <c r="D23" s="66"/>
    </row>
    <row r="24" spans="2:17" x14ac:dyDescent="0.25">
      <c r="C24" s="68"/>
      <c r="D24" s="65" t="s">
        <v>205</v>
      </c>
    </row>
    <row r="25" spans="2:17" x14ac:dyDescent="0.25">
      <c r="C25" s="68"/>
      <c r="D25" s="65" t="s">
        <v>188</v>
      </c>
    </row>
    <row r="26" spans="2:17" x14ac:dyDescent="0.25">
      <c r="C26" s="68"/>
      <c r="D26" s="65" t="s">
        <v>175</v>
      </c>
    </row>
    <row r="27" spans="2:17" x14ac:dyDescent="0.25">
      <c r="C27" s="68"/>
      <c r="D27" s="65" t="s">
        <v>206</v>
      </c>
    </row>
    <row r="28" spans="2:17" x14ac:dyDescent="0.25">
      <c r="C28" s="68"/>
      <c r="D28" s="65" t="s">
        <v>120</v>
      </c>
    </row>
    <row r="29" spans="2:17" ht="15.75" thickBot="1" x14ac:dyDescent="0.3">
      <c r="B29" s="1"/>
      <c r="C29" s="101"/>
      <c r="D29" s="105"/>
      <c r="E29" s="1"/>
      <c r="F29" s="102"/>
      <c r="G29" s="1"/>
      <c r="H29" s="1"/>
      <c r="I29" s="1"/>
      <c r="J29" s="1"/>
      <c r="K29" s="1"/>
      <c r="L29" s="1"/>
      <c r="M29" s="1"/>
      <c r="N29" s="1"/>
      <c r="O29" s="1"/>
      <c r="P29" s="1"/>
      <c r="Q29" s="1"/>
    </row>
    <row r="30" spans="2:17" ht="121.15" customHeight="1" thickBot="1" x14ac:dyDescent="0.3">
      <c r="B30" s="103"/>
      <c r="C30" s="104" t="s">
        <v>121</v>
      </c>
      <c r="D30" s="152" t="s">
        <v>189</v>
      </c>
      <c r="E30" s="152"/>
      <c r="F30" s="152"/>
      <c r="G30" s="152"/>
      <c r="H30" s="152"/>
      <c r="I30" s="152"/>
      <c r="J30" s="152"/>
      <c r="K30" s="152"/>
      <c r="L30" s="152"/>
      <c r="M30" s="152"/>
      <c r="N30" s="152"/>
      <c r="O30" s="103"/>
      <c r="P30" s="103"/>
      <c r="Q30" s="103"/>
    </row>
    <row r="31" spans="2:17" ht="15.75" thickBot="1" x14ac:dyDescent="0.3"/>
    <row r="32" spans="2:17" ht="15.75" thickBot="1" x14ac:dyDescent="0.3">
      <c r="C32" s="69" t="b">
        <v>1</v>
      </c>
      <c r="D32" t="s">
        <v>208</v>
      </c>
    </row>
    <row r="33" spans="3:4" ht="15.75" thickBot="1" x14ac:dyDescent="0.3"/>
    <row r="34" spans="3:4" ht="15.75" thickBot="1" x14ac:dyDescent="0.3">
      <c r="C34" s="69" t="b">
        <v>0</v>
      </c>
      <c r="D34" t="s">
        <v>209</v>
      </c>
    </row>
    <row r="35" spans="3:4" x14ac:dyDescent="0.25">
      <c r="C35" s="68"/>
      <c r="D35" t="s">
        <v>210</v>
      </c>
    </row>
    <row r="36" spans="3:4" ht="15.75" thickBot="1" x14ac:dyDescent="0.3"/>
    <row r="37" spans="3:4" ht="15.75" thickBot="1" x14ac:dyDescent="0.3">
      <c r="C37" s="69" t="b">
        <v>1</v>
      </c>
      <c r="D37" t="s">
        <v>211</v>
      </c>
    </row>
    <row r="38" spans="3:4" ht="15.75" thickBot="1" x14ac:dyDescent="0.3">
      <c r="C38" s="68"/>
    </row>
    <row r="39" spans="3:4" ht="15.75" thickBot="1" x14ac:dyDescent="0.3">
      <c r="C39" s="69" t="b">
        <v>1</v>
      </c>
      <c r="D39" t="s">
        <v>196</v>
      </c>
    </row>
    <row r="40" spans="3:4" x14ac:dyDescent="0.25">
      <c r="D40" t="s">
        <v>212</v>
      </c>
    </row>
    <row r="41" spans="3:4" ht="15.75" thickBot="1" x14ac:dyDescent="0.3">
      <c r="C41" s="68"/>
    </row>
    <row r="42" spans="3:4" ht="15.75" thickBot="1" x14ac:dyDescent="0.3">
      <c r="C42" s="69" t="b">
        <v>0</v>
      </c>
      <c r="D42" t="s">
        <v>194</v>
      </c>
    </row>
    <row r="43" spans="3:4" x14ac:dyDescent="0.25">
      <c r="D43" t="s">
        <v>195</v>
      </c>
    </row>
    <row r="44" spans="3:4" ht="15.75" thickBot="1" x14ac:dyDescent="0.3">
      <c r="C44" s="68"/>
    </row>
    <row r="45" spans="3:4" ht="15.75" thickBot="1" x14ac:dyDescent="0.3">
      <c r="C45" s="100" t="b">
        <v>1</v>
      </c>
      <c r="D45" t="s">
        <v>190</v>
      </c>
    </row>
    <row r="46" spans="3:4" ht="15.75" thickBot="1" x14ac:dyDescent="0.3">
      <c r="C46" s="68"/>
    </row>
    <row r="47" spans="3:4" ht="15.75" thickBot="1" x14ac:dyDescent="0.3">
      <c r="C47" s="69" t="b">
        <v>1</v>
      </c>
      <c r="D47" t="s">
        <v>213</v>
      </c>
    </row>
    <row r="48" spans="3:4" ht="15.75" thickBot="1" x14ac:dyDescent="0.3"/>
    <row r="49" spans="3:6" ht="15.75" thickBot="1" x14ac:dyDescent="0.3">
      <c r="C49" s="69" t="b">
        <v>0</v>
      </c>
      <c r="D49" t="s">
        <v>164</v>
      </c>
    </row>
    <row r="50" spans="3:6" ht="15.75" thickBot="1" x14ac:dyDescent="0.3"/>
    <row r="51" spans="3:6" ht="15.75" thickBot="1" x14ac:dyDescent="0.3">
      <c r="C51" s="100" t="b">
        <v>0</v>
      </c>
      <c r="D51" s="67" t="s">
        <v>214</v>
      </c>
    </row>
    <row r="52" spans="3:6" x14ac:dyDescent="0.25">
      <c r="D52" t="s">
        <v>122</v>
      </c>
    </row>
    <row r="53" spans="3:6" ht="15.75" thickBot="1" x14ac:dyDescent="0.3"/>
    <row r="54" spans="3:6" ht="15.75" thickBot="1" x14ac:dyDescent="0.3">
      <c r="C54" s="100" t="b">
        <v>1</v>
      </c>
      <c r="D54" t="s">
        <v>176</v>
      </c>
      <c r="E54" s="68"/>
      <c r="F54"/>
    </row>
    <row r="55" spans="3:6" x14ac:dyDescent="0.25">
      <c r="D55" t="s">
        <v>173</v>
      </c>
      <c r="E55" s="68"/>
      <c r="F55"/>
    </row>
    <row r="56" spans="3:6" ht="15.75" thickBot="1" x14ac:dyDescent="0.3"/>
    <row r="57" spans="3:6" ht="15.75" thickBot="1" x14ac:dyDescent="0.3">
      <c r="C57" s="100" t="b">
        <v>0</v>
      </c>
      <c r="D57" s="67" t="s">
        <v>182</v>
      </c>
      <c r="E57" s="68"/>
      <c r="F57"/>
    </row>
    <row r="58" spans="3:6" x14ac:dyDescent="0.25">
      <c r="D58" t="s">
        <v>181</v>
      </c>
      <c r="E58" s="68"/>
      <c r="F58"/>
    </row>
    <row r="59" spans="3:6" ht="15.75" thickBot="1" x14ac:dyDescent="0.3"/>
    <row r="60" spans="3:6" ht="15.75" thickBot="1" x14ac:dyDescent="0.3">
      <c r="C60" s="100" t="b">
        <v>1</v>
      </c>
      <c r="D60" s="67" t="s">
        <v>177</v>
      </c>
      <c r="E60" s="68"/>
      <c r="F60"/>
    </row>
    <row r="61" spans="3:6" x14ac:dyDescent="0.25">
      <c r="D61" t="s">
        <v>178</v>
      </c>
      <c r="E61" s="68"/>
      <c r="F61"/>
    </row>
    <row r="62" spans="3:6" ht="11.25" customHeight="1" thickBot="1" x14ac:dyDescent="0.3">
      <c r="E62" s="68"/>
      <c r="F62"/>
    </row>
    <row r="63" spans="3:6" ht="15.75" thickBot="1" x14ac:dyDescent="0.3">
      <c r="C63" s="100" t="b">
        <v>1</v>
      </c>
      <c r="D63" s="67" t="s">
        <v>193</v>
      </c>
      <c r="E63" s="68"/>
      <c r="F63"/>
    </row>
    <row r="64" spans="3:6" ht="15.75" thickBot="1" x14ac:dyDescent="0.3">
      <c r="E64" s="68"/>
      <c r="F64"/>
    </row>
    <row r="65" spans="2:17" ht="15.75" thickBot="1" x14ac:dyDescent="0.3">
      <c r="C65" s="100" t="b">
        <v>0</v>
      </c>
      <c r="D65" s="67" t="s">
        <v>215</v>
      </c>
      <c r="E65" s="68"/>
      <c r="F65"/>
    </row>
    <row r="66" spans="2:17" x14ac:dyDescent="0.25">
      <c r="E66" s="68"/>
      <c r="F66"/>
    </row>
    <row r="67" spans="2:17" ht="15.75" thickBot="1" x14ac:dyDescent="0.3">
      <c r="B67" s="1"/>
      <c r="C67" s="1"/>
      <c r="D67" s="1"/>
      <c r="E67" s="1"/>
      <c r="F67" s="102"/>
      <c r="G67" s="1"/>
      <c r="H67" s="1"/>
      <c r="I67" s="1"/>
      <c r="J67" s="1"/>
      <c r="K67" s="1"/>
      <c r="L67" s="1"/>
      <c r="M67" s="1"/>
      <c r="N67" s="1"/>
      <c r="O67" s="1"/>
      <c r="P67" s="1"/>
      <c r="Q67" s="1"/>
    </row>
  </sheetData>
  <mergeCells count="2">
    <mergeCell ref="D4:N4"/>
    <mergeCell ref="D30:N30"/>
  </mergeCells>
  <pageMargins left="0.7" right="0.7" top="0.75" bottom="0.75" header="0.3" footer="0.3"/>
  <pageSetup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J9"/>
  <sheetViews>
    <sheetView showGridLines="0" zoomScale="130" zoomScaleNormal="130" workbookViewId="0">
      <selection activeCell="I21" sqref="I21"/>
    </sheetView>
  </sheetViews>
  <sheetFormatPr defaultRowHeight="15" x14ac:dyDescent="0.25"/>
  <cols>
    <col min="3" max="3" width="3.42578125" customWidth="1"/>
    <col min="6" max="6" width="3.42578125" customWidth="1"/>
    <col min="9" max="9" width="3.42578125" customWidth="1"/>
  </cols>
  <sheetData>
    <row r="2" spans="2:10" ht="21" x14ac:dyDescent="0.35">
      <c r="B2" s="73" t="s">
        <v>165</v>
      </c>
      <c r="C2" s="73"/>
    </row>
    <row r="3" spans="2:10" ht="15.75" thickBot="1" x14ac:dyDescent="0.3"/>
    <row r="4" spans="2:10" x14ac:dyDescent="0.25">
      <c r="B4" s="74">
        <v>1</v>
      </c>
      <c r="C4" s="114"/>
      <c r="D4" s="70" t="str">
        <f>'MC-TF - 20 Pts'!C6</f>
        <v>D</v>
      </c>
      <c r="E4" s="74">
        <v>7</v>
      </c>
      <c r="F4" s="114"/>
      <c r="G4" s="70" t="b">
        <f>'MC-TF - 20 Pts'!C39</f>
        <v>1</v>
      </c>
      <c r="H4" s="74">
        <v>13</v>
      </c>
      <c r="I4" s="114"/>
      <c r="J4" s="70" t="b">
        <f>'MC-TF - 20 Pts'!C54</f>
        <v>1</v>
      </c>
    </row>
    <row r="5" spans="2:10" x14ac:dyDescent="0.25">
      <c r="B5" s="75">
        <v>2</v>
      </c>
      <c r="C5" s="113"/>
      <c r="D5" s="71" t="str">
        <f>'MC-TF - 20 Pts'!C14</f>
        <v>E</v>
      </c>
      <c r="E5" s="75">
        <v>8</v>
      </c>
      <c r="F5" s="113"/>
      <c r="G5" s="71" t="b">
        <f>'MC-TF - 20 Pts'!C42</f>
        <v>0</v>
      </c>
      <c r="H5" s="75">
        <v>14</v>
      </c>
      <c r="I5" s="113"/>
      <c r="J5" s="71" t="b">
        <f>'MC-TF - 20 Pts'!C57</f>
        <v>0</v>
      </c>
    </row>
    <row r="6" spans="2:10" x14ac:dyDescent="0.25">
      <c r="B6" s="75">
        <v>3</v>
      </c>
      <c r="C6" s="113"/>
      <c r="D6" s="71" t="str">
        <f>'MC-TF - 20 Pts'!C22</f>
        <v>A</v>
      </c>
      <c r="E6" s="75">
        <v>9</v>
      </c>
      <c r="F6" s="113"/>
      <c r="G6" s="71" t="b">
        <f>'MC-TF - 20 Pts'!C45</f>
        <v>1</v>
      </c>
      <c r="H6" s="75">
        <v>15</v>
      </c>
      <c r="I6" s="113"/>
      <c r="J6" s="71" t="b">
        <f>'MC-TF - 20 Pts'!C60</f>
        <v>1</v>
      </c>
    </row>
    <row r="7" spans="2:10" x14ac:dyDescent="0.25">
      <c r="B7" s="75">
        <v>4</v>
      </c>
      <c r="C7" s="113"/>
      <c r="D7" s="71" t="b">
        <f>'MC-TF - 20 Pts'!C32</f>
        <v>1</v>
      </c>
      <c r="E7" s="75">
        <v>10</v>
      </c>
      <c r="F7" s="113"/>
      <c r="G7" s="71" t="b">
        <f>'MC-TF - 20 Pts'!C47</f>
        <v>1</v>
      </c>
      <c r="H7" s="75">
        <v>16</v>
      </c>
      <c r="I7" s="113"/>
      <c r="J7" s="71" t="b">
        <f>'MC-TF - 20 Pts'!C63</f>
        <v>1</v>
      </c>
    </row>
    <row r="8" spans="2:10" x14ac:dyDescent="0.25">
      <c r="B8" s="116">
        <v>5</v>
      </c>
      <c r="C8" s="117"/>
      <c r="D8" s="71" t="b">
        <f>'MC-TF - 20 Pts'!C34</f>
        <v>0</v>
      </c>
      <c r="E8" s="116">
        <v>11</v>
      </c>
      <c r="F8" s="117"/>
      <c r="G8" s="71" t="b">
        <f>'MC-TF - 20 Pts'!C49</f>
        <v>0</v>
      </c>
      <c r="H8" s="116">
        <v>17</v>
      </c>
      <c r="I8" s="117"/>
      <c r="J8" s="71" t="b">
        <f>'MC-TF - 20 Pts'!C65</f>
        <v>0</v>
      </c>
    </row>
    <row r="9" spans="2:10" ht="15.75" thickBot="1" x14ac:dyDescent="0.3">
      <c r="B9" s="76">
        <v>6</v>
      </c>
      <c r="C9" s="115"/>
      <c r="D9" s="72" t="b">
        <f>'MC-TF - 20 Pts'!C37</f>
        <v>1</v>
      </c>
      <c r="E9" s="76">
        <v>12</v>
      </c>
      <c r="F9" s="115"/>
      <c r="G9" s="72" t="b">
        <f>'MC-TF - 20 Pts'!C51</f>
        <v>0</v>
      </c>
      <c r="H9" s="118"/>
      <c r="I9" s="119"/>
      <c r="J9" s="1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INSTRUCTIONS</vt:lpstr>
      <vt:lpstr>Prob 1 - 35 Pts</vt:lpstr>
      <vt:lpstr>Prob 2 - 30 Pts </vt:lpstr>
      <vt:lpstr>Scenario Summary</vt:lpstr>
      <vt:lpstr>Prob 3 - 10 Pts</vt:lpstr>
      <vt:lpstr>Prob 4 - 5 - Pts</vt:lpstr>
      <vt:lpstr>MC-TF - 20 Pts</vt:lpstr>
      <vt:lpstr>Sheet3</vt:lpstr>
      <vt:lpstr>Collect0</vt:lpstr>
      <vt:lpstr>Collect1</vt:lpstr>
      <vt:lpstr>Collect2</vt:lpstr>
      <vt:lpstr>NCF</vt:lpstr>
      <vt:lpstr>'Prob 1 - 35 Pts'!Print_Area</vt:lpstr>
      <vt:lpstr>'Prob 2 - 30 Pts '!Print_Area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Hawley, Del</cp:lastModifiedBy>
  <cp:lastPrinted>2013-09-30T20:33:28Z</cp:lastPrinted>
  <dcterms:created xsi:type="dcterms:W3CDTF">2010-01-07T16:00:30Z</dcterms:created>
  <dcterms:modified xsi:type="dcterms:W3CDTF">2021-02-23T14:33:47Z</dcterms:modified>
</cp:coreProperties>
</file>