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24226"/>
  <mc:AlternateContent xmlns:mc="http://schemas.openxmlformats.org/markup-compatibility/2006">
    <mc:Choice Requires="x15">
      <x15ac:absPath xmlns:x15ac="http://schemas.microsoft.com/office/spreadsheetml/2010/11/ac" url="C:\Users\Del\Dropbox\Class\Summer 2016\Exam 1\"/>
    </mc:Choice>
  </mc:AlternateContent>
  <bookViews>
    <workbookView xWindow="2640" yWindow="648" windowWidth="20112" windowHeight="7932" tabRatio="887" activeTab="1"/>
  </bookViews>
  <sheets>
    <sheet name="INSTRUCTIONS" sheetId="8" r:id="rId1"/>
    <sheet name="Prob 1 - 25 Pts" sheetId="1" r:id="rId2"/>
    <sheet name="Prob 2 - 25 Pts " sheetId="6" r:id="rId3"/>
    <sheet name="Scenario Summary" sheetId="25" r:id="rId4"/>
    <sheet name="Prob 3 - 10 Pts" sheetId="7" r:id="rId5"/>
    <sheet name="Prob 4 - 10 - Pts" sheetId="21" r:id="rId6"/>
    <sheet name="Prob 5 - 10 Pts" sheetId="22"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1 - 25 Pts'!$B$17:$G$67</definedName>
    <definedName name="_xlnm.Print_Area" localSheetId="2">'Prob 2 - 25 Pts '!$B$20:$N$55</definedName>
  </definedNames>
  <calcPr calcId="171027"/>
</workbook>
</file>

<file path=xl/calcChain.xml><?xml version="1.0" encoding="utf-8"?>
<calcChain xmlns="http://schemas.openxmlformats.org/spreadsheetml/2006/main">
  <c r="C28" i="21" l="1"/>
  <c r="D21" i="21"/>
  <c r="E21" i="21"/>
  <c r="D22" i="21"/>
  <c r="E22" i="21"/>
  <c r="E44" i="1"/>
  <c r="E49" i="1"/>
  <c r="E54" i="1"/>
  <c r="E32" i="1"/>
  <c r="D76" i="1"/>
  <c r="D91" i="1"/>
  <c r="D20" i="21" l="1"/>
  <c r="E20" i="21" s="1"/>
  <c r="D86" i="1"/>
  <c r="J8" i="19" l="1"/>
  <c r="J7" i="19"/>
  <c r="J6" i="19"/>
  <c r="J5" i="19"/>
  <c r="J4" i="19"/>
  <c r="G8" i="19"/>
  <c r="G7" i="19"/>
  <c r="G6" i="19"/>
  <c r="G5" i="19"/>
  <c r="G4" i="19"/>
  <c r="D8" i="19"/>
  <c r="D7" i="19"/>
  <c r="D6" i="19"/>
  <c r="D5" i="19"/>
  <c r="D4" i="19"/>
  <c r="D27" i="22" l="1"/>
  <c r="C27" i="22"/>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26" i="21" l="1"/>
  <c r="K63"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78" i="1" s="1"/>
  <c r="D46" i="1"/>
  <c r="E66" i="1"/>
  <c r="E60" i="1"/>
  <c r="E62" i="1" s="1"/>
  <c r="E52" i="1"/>
  <c r="G30" i="1"/>
  <c r="G28" i="1"/>
  <c r="G27" i="1"/>
  <c r="G26" i="1"/>
  <c r="G24" i="1"/>
  <c r="G23" i="1"/>
  <c r="D30" i="1"/>
  <c r="D28" i="1"/>
  <c r="D27" i="1"/>
  <c r="D26" i="1"/>
  <c r="D23" i="1"/>
  <c r="E25" i="1"/>
  <c r="G25" i="1" s="1"/>
  <c r="E67" i="1" l="1"/>
  <c r="G44" i="1" s="1"/>
  <c r="G46" i="6"/>
  <c r="H46" i="6" s="1"/>
  <c r="I46" i="6" s="1"/>
  <c r="J46" i="6" s="1"/>
  <c r="G62" i="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H42" i="6" l="1"/>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32" i="1" s="1"/>
  <c r="G29" i="1"/>
  <c r="G49" i="1"/>
  <c r="G54" i="1"/>
  <c r="F53" i="6"/>
  <c r="K7" i="7" s="1"/>
  <c r="J44" i="6"/>
  <c r="J45" i="6" s="1"/>
  <c r="I44" i="6"/>
  <c r="I45" i="6" s="1"/>
  <c r="K46" i="6"/>
  <c r="K42" i="6"/>
  <c r="K44" i="6" s="1"/>
  <c r="K45" i="6" s="1"/>
  <c r="D29" i="1" l="1"/>
  <c r="F29" i="1" s="1"/>
  <c r="G31" i="1"/>
  <c r="E33" i="1"/>
  <c r="G33" i="1" s="1"/>
  <c r="G53" i="6"/>
  <c r="L7" i="7" s="1"/>
  <c r="H48" i="6"/>
  <c r="I48" i="6" s="1"/>
  <c r="L46" i="6"/>
  <c r="L42" i="6"/>
  <c r="L44" i="6" s="1"/>
  <c r="D31" i="1" l="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66" i="1" s="1"/>
  <c r="F33" i="1"/>
  <c r="D35" i="1"/>
  <c r="N45" i="6"/>
  <c r="L48" i="6"/>
  <c r="K52" i="6"/>
  <c r="P6" i="7" s="1"/>
  <c r="K53" i="6"/>
  <c r="P7" i="7" s="1"/>
  <c r="F67" i="1" l="1"/>
  <c r="F48" i="1"/>
  <c r="F52" i="1"/>
  <c r="F61" i="1"/>
  <c r="F57" i="1"/>
  <c r="D54"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<sst xmlns="http://schemas.openxmlformats.org/spreadsheetml/2006/main" count="287" uniqueCount="237">
  <si>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</si>
  <si>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</si>
  <si>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</si>
  <si>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</si>
  <si>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</si>
  <si>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</si>
  <si>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</si>
  <si>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</si>
  <si>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</si>
  <si>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</si>
  <si>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</si>
  <si>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</si>
  <si>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</si>
  <si>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</si>
  <si>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</si>
  <si>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</si>
  <si>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</si>
  <si>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</si>
  <si>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</si>
  <si>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</si>
  <si>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</si>
  <si>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</si>
  <si>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</si>
  <si>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</si>
  <si>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</si>
  <si>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</si>
  <si>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</si>
  <si>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</si>
  <si>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</si>
  <si>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</si>
  <si>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</si>
  <si>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</si>
  <si>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</si>
  <si>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</si>
  <si>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</si>
  <si>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</si>
  <si>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</si>
  <si>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</si>
  <si>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</si>
  <si>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</si>
  <si>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</si>
  <si>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</si>
  <si>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</si>
  <si>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</si>
  <si>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</si>
  <si>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</si>
  <si>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</si>
  <si>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</si>
  <si>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</si>
  <si>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</si>
  <si>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</si>
  <si>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</si>
  <si>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</si>
  <si>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</si>
  <si>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</si>
  <si>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</si>
  <si>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</si>
  <si>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</si>
  <si>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</si>
  <si>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</si>
  <si>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</si>
  <si>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</si>
  <si>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</si>
  <si>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</si>
  <si>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</si>
  <si>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</si>
  <si>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</si>
  <si>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</si>
  <si>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</si>
  <si>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</si>
  <si>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</si>
  <si>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</si>
  <si>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</si>
  <si>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</si>
  <si>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</si>
  <si>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</si>
  <si>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</si>
  <si>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</si>
  <si>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</si>
  <si>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</si>
  <si>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</si>
  <si>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</si>
  <si>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</si>
  <si>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</si>
  <si>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</si>
  <si>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</si>
  <si>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</si>
  <si>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</si>
  <si>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</si>
  <si>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</si>
  <si>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</si>
  <si>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</si>
  <si>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</si>
  <si>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</si>
  <si>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</si>
  <si>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</si>
  <si>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</si>
  <si>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</si>
  <si>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</si>
  <si>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</si>
  <si>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</si>
  <si>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</si>
  <si>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</si>
  <si>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</si>
  <si>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</si>
  <si>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</si>
  <si>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</si>
  <si>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</si>
  <si>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</si>
  <si>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</si>
  <si>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</si>
  <si>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</si>
  <si>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</si>
  <si>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</si>
  <si>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</si>
  <si>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</si>
  <si>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</si>
  <si>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</si>
  <si>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</si>
  <si>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</si>
  <si>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</si>
  <si>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</si>
  <si>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</si>
  <si>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</si>
  <si>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</si>
  <si>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</si>
  <si>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</si>
  <si>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</si>
  <si>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</si>
  <si>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</si>
  <si>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</si>
  <si>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</si>
  <si>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</si>
  <si>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</si>
  <si>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</si>
  <si>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</si>
  <si>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</si>
  <si>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</si>
  <si>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</si>
  <si>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</si>
  <si>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</si>
  <si>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</si>
  <si>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</si>
  <si>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</si>
  <si>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</si>
  <si>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</si>
  <si>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</si>
  <si>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</si>
  <si>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</si>
  <si>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</si>
  <si>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</si>
  <si>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</si>
  <si>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</si>
  <si>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</si>
  <si>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</si>
  <si>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</si>
  <si>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</si>
  <si>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</si>
  <si>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</si>
  <si>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</si>
  <si>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</si>
  <si>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</si>
  <si>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</si>
  <si>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</si>
  <si>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</si>
  <si>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</si>
  <si>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</si>
  <si>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</si>
  <si>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</si>
  <si>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</si>
  <si>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</si>
  <si>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</si>
  <si>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</si>
  <si>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</si>
  <si>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</si>
  <si>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t xml:space="preserve">      a common-sized balance sheet.</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</si>
  <si>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</si>
  <si>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</si>
  <si>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</si>
  <si>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</si>
  <si>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</si>
  <si>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</si>
  <si>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</si>
  <si>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</si>
  <si>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</si>
  <si>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</si>
  <si>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</si>
  <si>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</si>
  <si>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</si>
  <si>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</si>
  <si>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</si>
  <si>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</si>
  <si>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</si>
  <si>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t>2014</t>
  </si>
  <si>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</si>
  <si>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</si>
  <si>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t>A</t>
  </si>
  <si>
    <r>
      <t>d.</t>
    </r>
    <r>
      <rPr>
        <sz val="7"/>
        <color theme="1"/>
        <rFont val="Times New Roman"/>
        <family val="1"/>
      </rPr>
      <t xml:space="preserve">      </t>
    </r>
    <r>
      <rPr>
        <sz val="11"/>
        <color theme="1"/>
        <rFont val="Calibri"/>
        <family val="2"/>
        <scheme val="minor"/>
      </rPr>
      <t>Debt to assets ratio</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</si>
  <si>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</si>
  <si>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</si>
  <si>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</si>
  <si>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on the balance sheet.</t>
  </si>
  <si>
    <t xml:space="preserve"> 14. The book value of a company's common stock equals Total Assets minus Long Term Debt</t>
  </si>
  <si>
    <t>Inputs for 2015</t>
  </si>
  <si>
    <r>
      <t xml:space="preserve">Note: 2015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</si>
  <si>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2014.</t>
  </si>
  <si>
    <t>Complete the 2014 and 2015 Income Statements and Balance Sheets using</t>
  </si>
  <si>
    <t xml:space="preserve">appropriately use the 2015 inputs. All computations should reflect any changes </t>
  </si>
  <si>
    <t>Create the common size income statements and balance sheets for 2014 and 2015</t>
  </si>
  <si>
    <t>2014-2015</t>
  </si>
  <si>
    <t>2015</t>
  </si>
  <si>
    <t>Created by Del on 9/22/2011
Modified by D Hawley on 9/22/2013
Modified by Del on 6/9/2014
Modified by Del Hawley on 2/16/2015
Modified by Del Hawley on 6/12/2016</t>
  </si>
  <si>
    <t>Created by Del on 9/22/2011
Modified by Del on 6/9/2012
Modified by D Hawley on 9/22/2013
Modified by Del on 6/9/2014
Modified by Del Hawley on 2/16/2015
Modified by Del Hawley on 6/12/2016</t>
  </si>
  <si>
    <t>For the Year Ended Dec. 31, 2015</t>
  </si>
  <si>
    <t>FY
2015</t>
  </si>
  <si>
    <t>FY
2014</t>
  </si>
  <si>
    <t>Multiple Choice
-2 Points per incorrect or omitted answer</t>
  </si>
  <si>
    <t xml:space="preserve"> </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</si>
  <si>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</si>
  <si>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</si>
  <si>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</si>
  <si>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t>D</t>
  </si>
  <si>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</si>
  <si>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</si>
  <si>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</si>
  <si>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</si>
  <si>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t>E</t>
  </si>
  <si>
    <r>
      <t>b.</t>
    </r>
    <r>
      <rPr>
        <sz val="7"/>
        <color theme="1"/>
        <rFont val="Times New Roman"/>
        <family val="1"/>
      </rPr>
      <t xml:space="preserve">       </t>
    </r>
    <r>
      <rPr>
        <sz val="11"/>
        <color theme="1"/>
        <rFont val="Calibri"/>
        <family val="2"/>
        <scheme val="minor"/>
      </rPr>
      <t>Gross profit margin</t>
    </r>
  </si>
  <si>
    <r>
      <t>a.</t>
    </r>
    <r>
      <rPr>
        <sz val="7"/>
        <color theme="1"/>
        <rFont val="Times New Roman"/>
        <family val="1"/>
      </rPr>
      <t xml:space="preserve">       </t>
    </r>
    <r>
      <rPr>
        <sz val="11"/>
        <color theme="1"/>
        <rFont val="Calibri"/>
        <family val="2"/>
        <scheme val="minor"/>
      </rPr>
      <t>Debt to equity ratio</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</si>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</sst>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b/>
      <sz val="20"/>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07">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43" fontId="0" fillId="0" borderId="0" xfId="0" applyNumberFormat="1"/>
    <xf numFmtId="43" fontId="0" fillId="2" borderId="4" xfId="0" applyNumberFormat="1" applyFill="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5" xfId="0" applyNumberFormat="1" applyBorder="1"/>
    <xf numFmtId="0" fontId="0" fillId="0" borderId="24" xfId="0" applyNumberFormat="1" applyBorder="1" applyAlignment="1">
      <alignment horizontal="center"/>
    </xf>
    <xf numFmtId="44" fontId="0" fillId="0" borderId="26" xfId="0" applyNumberFormat="1" applyBorder="1"/>
    <xf numFmtId="44" fontId="0" fillId="10" borderId="26" xfId="0" applyNumberFormat="1" applyFill="1" applyBorder="1"/>
    <xf numFmtId="44" fontId="19" fillId="11" borderId="27" xfId="0" applyNumberFormat="1" applyFont="1" applyFill="1" applyBorder="1" applyAlignment="1">
      <alignment horizontal="center" vertical="center"/>
    </xf>
    <xf numFmtId="44" fontId="19" fillId="11" borderId="28" xfId="0" applyNumberFormat="1" applyFont="1" applyFill="1" applyBorder="1" applyAlignment="1">
      <alignment horizontal="center" vertical="center" wrapText="1"/>
    </xf>
    <xf numFmtId="44" fontId="19" fillId="11" borderId="29"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164" fontId="6" fillId="0" borderId="0" xfId="3" applyNumberFormat="1" applyFont="1"/>
    <xf numFmtId="43" fontId="0" fillId="3" borderId="0" xfId="0" applyNumberFormat="1" applyFill="1" applyBorder="1"/>
    <xf numFmtId="0" fontId="0" fillId="0" borderId="0" xfId="0"/>
    <xf numFmtId="44" fontId="0" fillId="0" borderId="0" xfId="0" applyNumberFormat="1"/>
    <xf numFmtId="43" fontId="0" fillId="2" borderId="4" xfId="0" applyNumberFormat="1" applyFill="1" applyBorder="1"/>
    <xf numFmtId="166" fontId="1" fillId="0" borderId="0" xfId="2" applyNumberFormat="1" applyFont="1"/>
    <xf numFmtId="0" fontId="0" fillId="0" borderId="0" xfId="0" applyAlignment="1">
      <alignment horizontal="left" vertical="center" indent="9"/>
    </xf>
    <xf numFmtId="0" fontId="0" fillId="0" borderId="0" xfId="0" applyAlignment="1">
      <alignment horizontal="left" vertical="center" indent="4"/>
    </xf>
    <xf numFmtId="0" fontId="0" fillId="2" borderId="3" xfId="0" applyFill="1" applyBorder="1" applyAlignment="1">
      <alignment horizontal="center"/>
    </xf>
    <xf numFmtId="0" fontId="0" fillId="0" borderId="0" xfId="0" applyAlignment="1">
      <alignment horizontal="left"/>
    </xf>
    <xf numFmtId="43" fontId="7" fillId="0" borderId="0" xfId="0" quotePrefix="1" applyNumberFormat="1" applyFont="1" applyAlignment="1">
      <alignment horizontal="center"/>
    </xf>
    <xf numFmtId="0" fontId="0" fillId="0" borderId="30" xfId="0" applyNumberFormat="1" applyBorder="1" applyAlignment="1">
      <alignment horizontal="center"/>
    </xf>
    <xf numFmtId="44" fontId="0" fillId="0" borderId="31" xfId="0" applyNumberFormat="1" applyBorder="1"/>
    <xf numFmtId="0" fontId="0" fillId="0" borderId="0" xfId="0" applyFont="1" applyAlignment="1">
      <alignment horizontal="left" vertical="center" indent="4"/>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Border="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22" fillId="5" borderId="14" xfId="0" applyFont="1" applyFill="1" applyBorder="1" applyAlignment="1">
      <alignment horizontal="left"/>
    </xf>
    <xf numFmtId="0" fontId="22" fillId="5" borderId="6" xfId="0" applyFont="1" applyFill="1" applyBorder="1" applyAlignment="1">
      <alignment horizontal="left"/>
    </xf>
    <xf numFmtId="0" fontId="23" fillId="6" borderId="0" xfId="0" applyFont="1" applyFill="1" applyBorder="1" applyAlignment="1">
      <alignment horizontal="left"/>
    </xf>
    <xf numFmtId="0" fontId="24" fillId="6" borderId="15" xfId="0" applyFont="1" applyFill="1" applyBorder="1" applyAlignment="1">
      <alignment horizontal="left"/>
    </xf>
    <xf numFmtId="0" fontId="23" fillId="6" borderId="1" xfId="0" applyFont="1" applyFill="1" applyBorder="1" applyAlignment="1">
      <alignment horizontal="left"/>
    </xf>
    <xf numFmtId="0" fontId="25" fillId="0" borderId="2" xfId="0" applyFont="1" applyBorder="1" applyAlignment="1">
      <alignment horizontal="center" vertical="center" wrapText="1"/>
    </xf>
    <xf numFmtId="0" fontId="3" fillId="3" borderId="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5" xfId="0" applyFont="1" applyFill="1" applyBorder="1" applyAlignment="1">
      <alignment horizontal="center" vertical="center"/>
    </xf>
  </cellXfs>
  <cellStyles count="6">
    <cellStyle name="Comma" xfId="1" builtinId="3"/>
    <cellStyle name="Comma 3" xfId="5"/>
    <cellStyle name="Currency" xfId="2" builtinId="4"/>
    <cellStyle name="Normal" xfId="0" builtinId="0"/>
    <cellStyle name="Normal 3" xfId="4"/>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-405</c:v>
                </c:pt>
                <c:pt idx="1">
                  <c:v>0</c:v>
                </c:pt>
                <c:pt idx="2">
                  <c:v>0</c:v>
                </c:pt>
                <c:pt idx="3">
                  <c:v>-60483</c:v>
                </c:pt>
                <c:pt idx="4">
                  <c:v>-49245.65</c:v>
                </c:pt>
                <c:pt idx="5">
                  <c:v>-36530.65</c:v>
                </c:pt>
                <c:pt idx="6">
                  <c:v>-25664.75</c:v>
                </c:pt>
                <c:pt idx="7">
                  <c:v>-13151.75</c:v>
                </c:pt>
                <c:pt idx="8">
                  <c:v>-419.65000000000146</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0</c:v>
                </c:pt>
                <c:pt idx="1">
                  <c:v>8621.0500000000029</c:v>
                </c:pt>
                <c:pt idx="2">
                  <c:v>17351.75</c:v>
                </c:pt>
                <c:pt idx="3">
                  <c:v>0</c:v>
                </c:pt>
                <c:pt idx="4">
                  <c:v>0</c:v>
                </c:pt>
                <c:pt idx="5">
                  <c:v>0</c:v>
                </c:pt>
                <c:pt idx="6">
                  <c:v>0</c:v>
                </c:pt>
                <c:pt idx="7">
                  <c:v>0</c:v>
                </c:pt>
                <c:pt idx="8">
                  <c:v>0</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60000"/>
          <c:min val="-8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0000"/>
        <c:minorUnit val="10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2015)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that it is self-explanatory and professional and appropriatel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137272</xdr:rowOff>
    </xdr:from>
    <xdr:to>
      <xdr:col>4</xdr:col>
      <xdr:colOff>304801</xdr:colOff>
      <xdr:row>5</xdr:row>
      <xdr:rowOff>122705</xdr:rowOff>
    </xdr:to>
    <xdr:sp macro="" textlink="">
      <xdr:nvSpPr>
        <xdr:cNvPr id="2" name="Rounded Rectangle 1"/>
        <xdr:cNvSpPr/>
      </xdr:nvSpPr>
      <xdr:spPr>
        <a:xfrm>
          <a:off x="285751" y="137272"/>
          <a:ext cx="5498726"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xdr:from>
      <xdr:col>4</xdr:col>
      <xdr:colOff>77316</xdr:colOff>
      <xdr:row>7</xdr:row>
      <xdr:rowOff>78441</xdr:rowOff>
    </xdr:from>
    <xdr:to>
      <xdr:col>8</xdr:col>
      <xdr:colOff>160020</xdr:colOff>
      <xdr:row>13</xdr:row>
      <xdr:rowOff>44824</xdr:rowOff>
    </xdr:to>
    <xdr:sp macro="" textlink="">
      <xdr:nvSpPr>
        <xdr:cNvPr id="5" name="Right Arrow 4"/>
        <xdr:cNvSpPr/>
      </xdr:nvSpPr>
      <xdr:spPr>
        <a:xfrm flipH="1">
          <a:off x="5693256" y="1785321"/>
          <a:ext cx="2719224" cy="166183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is 25 characters</a:t>
          </a:r>
          <a:r>
            <a:rPr lang="en-US" sz="1100" baseline="0"/>
            <a:t> wide. Columns C and D are 18 characters wide.</a:t>
          </a:r>
        </a:p>
        <a:p>
          <a:pPr algn="l"/>
          <a:endParaRPr lang="en-US" sz="1100"/>
        </a:p>
      </xdr:txBody>
    </xdr:sp>
    <xdr:clientData/>
  </xdr:twoCellAnchor>
  <xdr:twoCellAnchor>
    <xdr:from>
      <xdr:col>4</xdr:col>
      <xdr:colOff>152398</xdr:colOff>
      <xdr:row>12</xdr:row>
      <xdr:rowOff>56365</xdr:rowOff>
    </xdr:from>
    <xdr:to>
      <xdr:col>8</xdr:col>
      <xdr:colOff>148590</xdr:colOff>
      <xdr:row>15</xdr:row>
      <xdr:rowOff>142090</xdr:rowOff>
    </xdr:to>
    <xdr:sp macro="" textlink="">
      <xdr:nvSpPr>
        <xdr:cNvPr id="8" name="Right Arrow 7"/>
        <xdr:cNvSpPr/>
      </xdr:nvSpPr>
      <xdr:spPr>
        <a:xfrm flipH="1">
          <a:off x="5768338" y="3077695"/>
          <a:ext cx="2632712" cy="132016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14</a:t>
          </a:r>
          <a:r>
            <a:rPr lang="en-US" sz="1100" baseline="0"/>
            <a:t> is 50 points high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9" name="Right Arrow 8"/>
        <xdr:cNvSpPr/>
      </xdr:nvSpPr>
      <xdr:spPr>
        <a:xfrm flipH="1">
          <a:off x="5601819" y="5842186"/>
          <a:ext cx="2420471" cy="1071844"/>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is</a:t>
          </a:r>
          <a:r>
            <a:rPr lang="en-US" sz="1100" baseline="0"/>
            <a:t> 30 pixels high with 14 pt. fonts</a:t>
          </a:r>
          <a:endParaRPr lang="en-US" sz="1100"/>
        </a:p>
      </xdr:txBody>
    </xdr:sp>
    <xdr:clientData/>
  </xdr:twoCellAnchor>
  <xdr:twoCellAnchor editAs="oneCell">
    <xdr:from>
      <xdr:col>8</xdr:col>
      <xdr:colOff>201929</xdr:colOff>
      <xdr:row>6</xdr:row>
      <xdr:rowOff>81914</xdr:rowOff>
    </xdr:from>
    <xdr:to>
      <xdr:col>21</xdr:col>
      <xdr:colOff>243848</xdr:colOff>
      <xdr:row>29</xdr:row>
      <xdr:rowOff>11429</xdr:rowOff>
    </xdr:to>
    <xdr:pic>
      <xdr:nvPicPr>
        <xdr:cNvPr id="3" name="Picture 2"/>
        <xdr:cNvPicPr>
          <a:picLocks noChangeAspect="1"/>
        </xdr:cNvPicPr>
      </xdr:nvPicPr>
      <xdr:blipFill>
        <a:blip xmlns:r="http://schemas.openxmlformats.org/officeDocument/2006/relationships" r:embed="rId1"/>
        <a:stretch>
          <a:fillRect/>
        </a:stretch>
      </xdr:blipFill>
      <xdr:spPr>
        <a:xfrm>
          <a:off x="8454389" y="1605914"/>
          <a:ext cx="8610609" cy="54692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zoomScale="115" zoomScaleNormal="115" workbookViewId="0">
      <selection activeCell="D10" sqref="D10"/>
    </sheetView>
  </sheetViews>
  <sheetFormatPr defaultRowHeight="14.4" x14ac:dyDescent="0.55000000000000004"/>
  <cols>
    <col min="1" max="1" width="3.1015625" customWidth="1"/>
    <col min="2" max="2" width="4.5234375" customWidth="1"/>
  </cols>
  <sheetData>
    <row r="2" spans="2:2" ht="18.3" x14ac:dyDescent="0.7">
      <c r="B2" s="53" t="s">
        <v>111</v>
      </c>
    </row>
    <row r="3" spans="2:2" ht="18.3" x14ac:dyDescent="0.7">
      <c r="B3" s="53" t="s">
        <v>112</v>
      </c>
    </row>
    <row r="4" spans="2:2" ht="18.3" x14ac:dyDescent="0.7">
      <c r="B4" s="53" t="s">
        <v>113</v>
      </c>
    </row>
    <row r="5" spans="2:2" ht="11.1" customHeight="1" x14ac:dyDescent="0.7">
      <c r="B5" s="53"/>
    </row>
    <row r="6" spans="2:2" ht="18.3" x14ac:dyDescent="0.7">
      <c r="B6" s="53" t="s">
        <v>114</v>
      </c>
    </row>
    <row r="7" spans="2:2" ht="18.3" x14ac:dyDescent="0.7">
      <c r="B7" s="53" t="s">
        <v>128</v>
      </c>
    </row>
    <row r="8" spans="2:2" ht="11.1" customHeight="1" x14ac:dyDescent="0.7">
      <c r="B8" s="53"/>
    </row>
    <row r="9" spans="2:2" s="52" customFormat="1" ht="18.3" x14ac:dyDescent="0.7">
      <c r="B9" s="53" t="s">
        <v>117</v>
      </c>
    </row>
    <row r="10" spans="2:2" s="52" customFormat="1" ht="18.3" x14ac:dyDescent="0.7">
      <c r="B10" s="53" t="s">
        <v>118</v>
      </c>
    </row>
    <row r="11" spans="2:2" s="52" customFormat="1" ht="18.3" x14ac:dyDescent="0.7">
      <c r="B11" s="53" t="s">
        <v>119</v>
      </c>
    </row>
    <row r="12" spans="2:2" ht="14.1" customHeight="1" x14ac:dyDescent="0.7">
      <c r="B12" s="53"/>
    </row>
    <row r="13" spans="2:2" x14ac:dyDescent="0.55000000000000004">
      <c r="B13" s="52" t="s">
        <v>129</v>
      </c>
    </row>
    <row r="14" spans="2:2" ht="8.4" customHeight="1" x14ac:dyDescent="0.7">
      <c r="B14" s="53"/>
    </row>
    <row r="15" spans="2:2" x14ac:dyDescent="0.55000000000000004">
      <c r="B15" s="52" t="s">
        <v>115</v>
      </c>
    </row>
    <row r="16" spans="2:2" ht="6" customHeight="1" x14ac:dyDescent="0.55000000000000004">
      <c r="B16" s="52"/>
    </row>
    <row r="17" spans="2:3" x14ac:dyDescent="0.55000000000000004">
      <c r="B17" s="52" t="s">
        <v>116</v>
      </c>
    </row>
    <row r="18" spans="2:3" x14ac:dyDescent="0.55000000000000004">
      <c r="B18" s="52"/>
    </row>
    <row r="19" spans="2:3" s="54" customFormat="1" x14ac:dyDescent="0.55000000000000004">
      <c r="B19" s="54" t="s">
        <v>130</v>
      </c>
    </row>
    <row r="20" spans="2:3" s="54" customFormat="1" x14ac:dyDescent="0.55000000000000004">
      <c r="B20" s="54" t="s">
        <v>174</v>
      </c>
    </row>
    <row r="21" spans="2:3" s="54" customFormat="1" x14ac:dyDescent="0.55000000000000004">
      <c r="B21" s="54" t="s">
        <v>131</v>
      </c>
    </row>
    <row r="22" spans="2:3" s="54" customFormat="1" x14ac:dyDescent="0.55000000000000004"/>
    <row r="23" spans="2:3" s="54" customFormat="1" ht="18.3" x14ac:dyDescent="0.7">
      <c r="B23" s="55" t="s">
        <v>120</v>
      </c>
    </row>
    <row r="24" spans="2:3" s="52" customFormat="1" x14ac:dyDescent="0.55000000000000004"/>
    <row r="25" spans="2:3" s="52" customFormat="1" ht="6.6" customHeight="1" x14ac:dyDescent="0.55000000000000004"/>
    <row r="26" spans="2:3" s="52" customFormat="1" ht="18.3" x14ac:dyDescent="0.7">
      <c r="C26" s="55" t="s">
        <v>121</v>
      </c>
    </row>
    <row r="27" spans="2:3" s="52" customFormat="1" ht="18.3" x14ac:dyDescent="0.7">
      <c r="C27" s="55" t="s">
        <v>132</v>
      </c>
    </row>
    <row r="28" spans="2:3" s="52" customFormat="1" ht="18.3" x14ac:dyDescent="0.7">
      <c r="C28" s="55"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tabSelected="1" zoomScaleNormal="100" workbookViewId="0"/>
  </sheetViews>
  <sheetFormatPr defaultRowHeight="14.4" x14ac:dyDescent="0.55000000000000004"/>
  <cols>
    <col min="1" max="1" width="2.89453125" customWidth="1"/>
    <col min="2" max="2" width="37.1015625" customWidth="1"/>
    <col min="3" max="3" width="5.1015625" customWidth="1"/>
    <col min="4" max="4" width="17.1015625" customWidth="1"/>
    <col min="5" max="5" width="14" customWidth="1"/>
    <col min="6" max="7" width="12.89453125" customWidth="1"/>
    <col min="8" max="8" width="4" customWidth="1"/>
    <col min="9" max="9" width="3" customWidth="1"/>
    <col min="10" max="10" width="3.5234375" style="2" customWidth="1"/>
    <col min="11" max="11" width="76.41796875" customWidth="1"/>
    <col min="12" max="12" width="2.1015625" customWidth="1"/>
  </cols>
  <sheetData>
    <row r="1" spans="2:12" ht="14.7" thickBot="1" x14ac:dyDescent="0.6">
      <c r="B1" s="1"/>
      <c r="C1" s="1"/>
      <c r="D1" s="1"/>
    </row>
    <row r="2" spans="2:12" s="3" customFormat="1" ht="24" customHeight="1" thickBot="1" x14ac:dyDescent="0.75">
      <c r="B2" s="181" t="s">
        <v>203</v>
      </c>
      <c r="C2" s="181"/>
      <c r="D2" s="181"/>
      <c r="I2" s="78"/>
      <c r="J2" s="79"/>
      <c r="K2" s="80"/>
      <c r="L2" s="81"/>
    </row>
    <row r="3" spans="2:12" s="3" customFormat="1" ht="18.75" customHeight="1" x14ac:dyDescent="0.55000000000000004">
      <c r="B3" s="4" t="s">
        <v>0</v>
      </c>
      <c r="C3" s="4"/>
      <c r="D3" s="162">
        <v>0.35</v>
      </c>
      <c r="I3" s="82"/>
      <c r="J3" s="83" t="s">
        <v>65</v>
      </c>
      <c r="K3" s="163" t="s">
        <v>206</v>
      </c>
      <c r="L3" s="85"/>
    </row>
    <row r="4" spans="2:12" s="3" customFormat="1" x14ac:dyDescent="0.55000000000000004">
      <c r="B4" s="4" t="s">
        <v>1</v>
      </c>
      <c r="C4" s="4"/>
      <c r="D4" s="158">
        <v>350000</v>
      </c>
      <c r="I4" s="82"/>
      <c r="J4" s="86"/>
      <c r="K4" s="163" t="s">
        <v>66</v>
      </c>
      <c r="L4" s="85"/>
    </row>
    <row r="5" spans="2:12" s="3" customFormat="1" x14ac:dyDescent="0.55000000000000004">
      <c r="B5" s="4" t="s">
        <v>12</v>
      </c>
      <c r="C5" s="4"/>
      <c r="D5" s="159">
        <v>5600000</v>
      </c>
      <c r="I5" s="82"/>
      <c r="J5" s="86"/>
      <c r="K5" s="163" t="s">
        <v>207</v>
      </c>
      <c r="L5" s="85"/>
    </row>
    <row r="6" spans="2:12" s="3" customFormat="1" x14ac:dyDescent="0.55000000000000004">
      <c r="B6" s="4" t="s">
        <v>2</v>
      </c>
      <c r="C6" s="4"/>
      <c r="D6" s="159">
        <v>1025000</v>
      </c>
      <c r="I6" s="82"/>
      <c r="J6" s="86"/>
      <c r="K6" s="163" t="s">
        <v>68</v>
      </c>
      <c r="L6" s="85"/>
    </row>
    <row r="7" spans="2:12" s="56" customFormat="1" x14ac:dyDescent="0.55000000000000004">
      <c r="B7" s="4" t="s">
        <v>4</v>
      </c>
      <c r="C7" s="4"/>
      <c r="D7" s="159">
        <v>845000</v>
      </c>
      <c r="I7" s="82"/>
      <c r="J7" s="84"/>
      <c r="K7" s="163"/>
      <c r="L7" s="85"/>
    </row>
    <row r="8" spans="2:12" s="56" customFormat="1" x14ac:dyDescent="0.55000000000000004">
      <c r="B8" s="4" t="s">
        <v>5</v>
      </c>
      <c r="C8" s="4"/>
      <c r="D8" s="159">
        <v>120000</v>
      </c>
      <c r="I8" s="82"/>
      <c r="J8" s="83" t="s">
        <v>67</v>
      </c>
      <c r="K8" s="163" t="s">
        <v>208</v>
      </c>
      <c r="L8" s="85"/>
    </row>
    <row r="9" spans="2:12" s="3" customFormat="1" x14ac:dyDescent="0.55000000000000004">
      <c r="B9" s="4" t="s">
        <v>3</v>
      </c>
      <c r="C9" s="4"/>
      <c r="D9" s="159">
        <v>1250000</v>
      </c>
      <c r="I9" s="82"/>
      <c r="J9" s="86"/>
      <c r="K9" s="84" t="s">
        <v>69</v>
      </c>
      <c r="L9" s="85"/>
    </row>
    <row r="10" spans="2:12" s="3" customFormat="1" x14ac:dyDescent="0.55000000000000004">
      <c r="B10" s="4" t="s">
        <v>7</v>
      </c>
      <c r="C10" s="4"/>
      <c r="D10" s="159">
        <v>2550000</v>
      </c>
      <c r="I10" s="82"/>
      <c r="J10" s="86"/>
      <c r="K10" s="84"/>
      <c r="L10" s="85"/>
    </row>
    <row r="11" spans="2:12" s="3" customFormat="1" x14ac:dyDescent="0.55000000000000004">
      <c r="B11" s="4" t="s">
        <v>8</v>
      </c>
      <c r="C11" s="4"/>
      <c r="D11" s="159">
        <v>1420000</v>
      </c>
      <c r="I11" s="82"/>
      <c r="J11" s="83" t="s">
        <v>70</v>
      </c>
      <c r="K11" s="84" t="s">
        <v>71</v>
      </c>
      <c r="L11" s="85"/>
    </row>
    <row r="12" spans="2:12" s="3" customFormat="1" x14ac:dyDescent="0.55000000000000004">
      <c r="B12" s="4" t="s">
        <v>9</v>
      </c>
      <c r="C12" s="4"/>
      <c r="D12" s="159">
        <v>1045000</v>
      </c>
      <c r="I12" s="82"/>
      <c r="J12" s="86"/>
      <c r="K12" s="84" t="s">
        <v>72</v>
      </c>
      <c r="L12" s="85"/>
    </row>
    <row r="13" spans="2:12" s="3" customFormat="1" ht="14.7" thickBot="1" x14ac:dyDescent="0.6">
      <c r="B13" s="4" t="s">
        <v>6</v>
      </c>
      <c r="C13" s="4"/>
      <c r="D13" s="160">
        <v>0.25</v>
      </c>
      <c r="I13" s="87"/>
      <c r="J13" s="90"/>
      <c r="K13" s="89"/>
      <c r="L13" s="88"/>
    </row>
    <row r="14" spans="2:12" s="3" customFormat="1" ht="14.7" thickBot="1" x14ac:dyDescent="0.6">
      <c r="B14" s="6" t="s">
        <v>73</v>
      </c>
      <c r="C14" s="6"/>
      <c r="D14" s="161">
        <v>135000</v>
      </c>
      <c r="I14" s="50"/>
      <c r="J14" s="51"/>
      <c r="K14" s="50"/>
      <c r="L14" s="50"/>
    </row>
    <row r="15" spans="2:12" s="3" customFormat="1" ht="16.2" x14ac:dyDescent="0.85">
      <c r="B15" s="7" t="s">
        <v>204</v>
      </c>
      <c r="C15" s="7"/>
      <c r="D15" s="5"/>
      <c r="I15" s="50"/>
      <c r="J15" s="51"/>
      <c r="K15" s="50"/>
      <c r="L15" s="50"/>
    </row>
    <row r="16" spans="2:12" ht="14.7" thickBot="1" x14ac:dyDescent="0.6">
      <c r="B16" s="8" t="s">
        <v>205</v>
      </c>
      <c r="C16" s="8"/>
      <c r="D16" s="1"/>
      <c r="I16" s="50"/>
      <c r="J16" s="51"/>
      <c r="K16" s="50"/>
      <c r="L16" s="50"/>
    </row>
    <row r="17" spans="2:12" ht="14.7" thickBot="1" x14ac:dyDescent="0.6">
      <c r="B17" s="1"/>
      <c r="C17" s="1"/>
      <c r="D17" s="1"/>
      <c r="E17" s="1"/>
      <c r="F17" s="1"/>
      <c r="G17" s="1"/>
      <c r="I17" s="50"/>
      <c r="J17" s="51"/>
      <c r="K17" s="50"/>
      <c r="L17" s="50"/>
    </row>
    <row r="18" spans="2:12" ht="21" customHeight="1" x14ac:dyDescent="0.7">
      <c r="B18" s="182" t="s">
        <v>10</v>
      </c>
      <c r="C18" s="182"/>
      <c r="D18" s="182"/>
      <c r="E18" s="182"/>
      <c r="F18" s="182"/>
      <c r="G18" s="182"/>
      <c r="I18" s="50"/>
      <c r="J18" s="51"/>
      <c r="K18" s="50"/>
      <c r="L18" s="50"/>
    </row>
    <row r="19" spans="2:12" ht="21" customHeight="1" x14ac:dyDescent="0.7">
      <c r="B19" s="182" t="s">
        <v>209</v>
      </c>
      <c r="C19" s="182"/>
      <c r="D19" s="182"/>
      <c r="E19" s="182"/>
      <c r="F19" s="182"/>
      <c r="G19" s="182"/>
      <c r="I19" s="50"/>
      <c r="J19" s="51"/>
      <c r="K19" s="50"/>
      <c r="L19" s="50"/>
    </row>
    <row r="20" spans="2:12" ht="21" customHeight="1" thickBot="1" x14ac:dyDescent="0.75">
      <c r="B20" s="176" t="s">
        <v>11</v>
      </c>
      <c r="C20" s="176"/>
      <c r="D20" s="177"/>
      <c r="E20" s="177"/>
      <c r="F20" s="177"/>
      <c r="G20" s="177"/>
      <c r="I20" s="50"/>
      <c r="J20" s="51"/>
      <c r="K20" s="50"/>
      <c r="L20" s="50"/>
    </row>
    <row r="21" spans="2:12" ht="9" customHeight="1" x14ac:dyDescent="0.7">
      <c r="B21" s="9"/>
      <c r="C21" s="9"/>
      <c r="D21" s="9"/>
      <c r="E21" s="9"/>
      <c r="F21" s="9"/>
      <c r="G21" s="9"/>
      <c r="I21" s="50"/>
      <c r="J21" s="51"/>
      <c r="K21" s="50"/>
      <c r="L21" s="50"/>
    </row>
    <row r="22" spans="2:12" ht="16.2" x14ac:dyDescent="0.85">
      <c r="B22" s="3"/>
      <c r="C22" s="3"/>
      <c r="D22" s="172" t="s">
        <v>210</v>
      </c>
      <c r="E22" s="172" t="s">
        <v>193</v>
      </c>
      <c r="F22" s="172" t="s">
        <v>210</v>
      </c>
      <c r="G22" s="172" t="s">
        <v>193</v>
      </c>
      <c r="I22" s="50"/>
      <c r="J22" s="51"/>
      <c r="K22" s="50"/>
      <c r="L22" s="50"/>
    </row>
    <row r="23" spans="2:12" x14ac:dyDescent="0.55000000000000004">
      <c r="B23" s="3" t="s">
        <v>12</v>
      </c>
      <c r="C23" s="3"/>
      <c r="D23" s="10">
        <f>D5/1000</f>
        <v>5600</v>
      </c>
      <c r="E23" s="10">
        <v>6000</v>
      </c>
      <c r="F23" s="11">
        <f>D23/D$23</f>
        <v>1</v>
      </c>
      <c r="G23" s="11">
        <f>E23/E$23</f>
        <v>1</v>
      </c>
      <c r="I23" s="50"/>
      <c r="J23" s="51"/>
      <c r="K23" s="50"/>
      <c r="L23" s="50"/>
    </row>
    <row r="24" spans="2:12" ht="16.2" x14ac:dyDescent="0.85">
      <c r="B24" s="12" t="s">
        <v>13</v>
      </c>
      <c r="C24" s="12"/>
      <c r="D24" s="12">
        <f>E24/E23*D23</f>
        <v>2683.3333333333335</v>
      </c>
      <c r="E24" s="12">
        <v>2875</v>
      </c>
      <c r="F24" s="11">
        <f t="shared" ref="F24:G33" si="0">D24/D$23</f>
        <v>0.47916666666666669</v>
      </c>
      <c r="G24" s="11">
        <f t="shared" si="0"/>
        <v>0.47916666666666669</v>
      </c>
      <c r="H24" s="13"/>
      <c r="I24" s="50"/>
      <c r="J24" s="51"/>
      <c r="K24" s="50"/>
      <c r="L24" s="50"/>
    </row>
    <row r="25" spans="2:12" x14ac:dyDescent="0.55000000000000004">
      <c r="B25" s="3" t="s">
        <v>14</v>
      </c>
      <c r="C25" s="3"/>
      <c r="D25" s="10">
        <f>D23-D24</f>
        <v>2916.6666666666665</v>
      </c>
      <c r="E25" s="10">
        <f>E23-E24</f>
        <v>3125</v>
      </c>
      <c r="F25" s="11">
        <f t="shared" si="0"/>
        <v>0.52083333333333326</v>
      </c>
      <c r="G25" s="11">
        <f t="shared" si="0"/>
        <v>0.52083333333333337</v>
      </c>
    </row>
    <row r="26" spans="2:12" x14ac:dyDescent="0.55000000000000004">
      <c r="B26" s="3" t="s">
        <v>2</v>
      </c>
      <c r="C26" s="3"/>
      <c r="D26" s="3">
        <f>D6/1000</f>
        <v>1025</v>
      </c>
      <c r="E26" s="3">
        <v>890</v>
      </c>
      <c r="F26" s="11">
        <f t="shared" si="0"/>
        <v>0.18303571428571427</v>
      </c>
      <c r="G26" s="11">
        <f t="shared" si="0"/>
        <v>0.14833333333333334</v>
      </c>
    </row>
    <row r="27" spans="2:12" x14ac:dyDescent="0.55000000000000004">
      <c r="B27" s="3" t="s">
        <v>3</v>
      </c>
      <c r="C27" s="3"/>
      <c r="D27" s="3">
        <f>D9/1000</f>
        <v>1250</v>
      </c>
      <c r="E27" s="3">
        <v>1200</v>
      </c>
      <c r="F27" s="11">
        <f t="shared" si="0"/>
        <v>0.22321428571428573</v>
      </c>
      <c r="G27" s="11">
        <f t="shared" si="0"/>
        <v>0.2</v>
      </c>
    </row>
    <row r="28" spans="2:12" ht="16.2" x14ac:dyDescent="0.85">
      <c r="B28" s="12" t="s">
        <v>4</v>
      </c>
      <c r="C28" s="12"/>
      <c r="D28" s="29">
        <f>D7/1000</f>
        <v>845</v>
      </c>
      <c r="E28" s="12">
        <v>825</v>
      </c>
      <c r="F28" s="11">
        <f t="shared" si="0"/>
        <v>0.15089285714285713</v>
      </c>
      <c r="G28" s="11">
        <f t="shared" si="0"/>
        <v>0.13750000000000001</v>
      </c>
    </row>
    <row r="29" spans="2:12" x14ac:dyDescent="0.55000000000000004">
      <c r="B29" s="3" t="s">
        <v>15</v>
      </c>
      <c r="C29" s="3"/>
      <c r="D29" s="10">
        <f>D25-D26-D27-D28</f>
        <v>-203.33333333333348</v>
      </c>
      <c r="E29" s="10">
        <f>E25-E26-E27-E28</f>
        <v>210</v>
      </c>
      <c r="F29" s="11">
        <f t="shared" si="0"/>
        <v>-3.6309523809523833E-2</v>
      </c>
      <c r="G29" s="11">
        <f t="shared" si="0"/>
        <v>3.5000000000000003E-2</v>
      </c>
    </row>
    <row r="30" spans="2:12" ht="16.2" x14ac:dyDescent="0.85">
      <c r="B30" s="12" t="s">
        <v>5</v>
      </c>
      <c r="C30" s="12"/>
      <c r="D30" s="12">
        <f>D8/1000</f>
        <v>120</v>
      </c>
      <c r="E30" s="12">
        <v>125</v>
      </c>
      <c r="F30" s="11">
        <f t="shared" si="0"/>
        <v>2.1428571428571429E-2</v>
      </c>
      <c r="G30" s="11">
        <f t="shared" si="0"/>
        <v>2.0833333333333332E-2</v>
      </c>
    </row>
    <row r="31" spans="2:12" x14ac:dyDescent="0.55000000000000004">
      <c r="B31" s="3" t="s">
        <v>16</v>
      </c>
      <c r="C31" s="3"/>
      <c r="D31" s="10">
        <f>D29-D30</f>
        <v>-323.33333333333348</v>
      </c>
      <c r="E31" s="10">
        <f>E29-E30</f>
        <v>85</v>
      </c>
      <c r="F31" s="11">
        <f t="shared" si="0"/>
        <v>-5.7738095238095262E-2</v>
      </c>
      <c r="G31" s="11">
        <f t="shared" si="0"/>
        <v>1.4166666666666666E-2</v>
      </c>
    </row>
    <row r="32" spans="2:12" ht="16.2" x14ac:dyDescent="0.85">
      <c r="B32" s="12" t="s">
        <v>17</v>
      </c>
      <c r="C32" s="12"/>
      <c r="D32" s="12">
        <f>D31*D3</f>
        <v>-113.16666666666671</v>
      </c>
      <c r="E32" s="12">
        <f>E31*0.35</f>
        <v>29.749999999999996</v>
      </c>
      <c r="F32" s="11">
        <f t="shared" si="0"/>
        <v>-2.0208333333333342E-2</v>
      </c>
      <c r="G32" s="11">
        <f t="shared" si="0"/>
        <v>4.9583333333333328E-3</v>
      </c>
    </row>
    <row r="33" spans="2:7" x14ac:dyDescent="0.55000000000000004">
      <c r="B33" s="3" t="s">
        <v>18</v>
      </c>
      <c r="C33" s="3"/>
      <c r="D33" s="10">
        <f>D31-D32</f>
        <v>-210.16666666666677</v>
      </c>
      <c r="E33" s="10">
        <f>E31-E32</f>
        <v>55.25</v>
      </c>
      <c r="F33" s="11">
        <f t="shared" si="0"/>
        <v>-3.752976190476192E-2</v>
      </c>
      <c r="G33" s="11">
        <f t="shared" si="0"/>
        <v>9.208333333333334E-3</v>
      </c>
    </row>
    <row r="34" spans="2:7" ht="16.5" thickBot="1" x14ac:dyDescent="0.9">
      <c r="B34" s="29"/>
      <c r="C34" s="12"/>
      <c r="D34" s="12"/>
      <c r="E34" s="12"/>
      <c r="F34" s="11"/>
      <c r="G34" s="11"/>
    </row>
    <row r="35" spans="2:7" ht="14.7" thickBot="1" x14ac:dyDescent="0.6">
      <c r="B35" s="3" t="s">
        <v>19</v>
      </c>
      <c r="D35" s="28">
        <f>D33/D4*1000</f>
        <v>-0.60047619047619072</v>
      </c>
      <c r="E35" s="10"/>
      <c r="F35" s="11"/>
      <c r="G35" s="11"/>
    </row>
    <row r="36" spans="2:7" ht="7.5" customHeight="1" x14ac:dyDescent="0.55000000000000004">
      <c r="B36" s="3"/>
      <c r="C36" s="3"/>
      <c r="D36" s="10"/>
      <c r="E36" s="10"/>
    </row>
    <row r="37" spans="2:7" ht="7.5" customHeight="1" x14ac:dyDescent="0.55000000000000004"/>
    <row r="38" spans="2:7" ht="7.5" customHeight="1" thickBot="1" x14ac:dyDescent="0.6">
      <c r="B38" s="1"/>
      <c r="C38" s="1"/>
      <c r="D38" s="1"/>
      <c r="E38" s="1"/>
      <c r="F38" s="1"/>
      <c r="G38" s="1"/>
    </row>
    <row r="39" spans="2:7" ht="18.3" x14ac:dyDescent="0.7">
      <c r="B39" s="182" t="s">
        <v>20</v>
      </c>
      <c r="C39" s="182"/>
      <c r="D39" s="182"/>
      <c r="E39" s="182"/>
      <c r="F39" s="182"/>
      <c r="G39" s="182"/>
    </row>
    <row r="40" spans="2:7" ht="18.3" x14ac:dyDescent="0.7">
      <c r="B40" s="182" t="s">
        <v>209</v>
      </c>
      <c r="C40" s="182"/>
      <c r="D40" s="182"/>
      <c r="E40" s="182"/>
      <c r="F40" s="182"/>
      <c r="G40" s="182"/>
    </row>
    <row r="41" spans="2:7" ht="18.600000000000001" thickBot="1" x14ac:dyDescent="0.75">
      <c r="B41" s="176" t="s">
        <v>11</v>
      </c>
      <c r="C41" s="176"/>
      <c r="D41" s="177"/>
      <c r="E41" s="177"/>
      <c r="F41" s="177"/>
      <c r="G41" s="177"/>
    </row>
    <row r="42" spans="2:7" ht="18.3" x14ac:dyDescent="0.7">
      <c r="B42" s="14"/>
      <c r="C42" s="14"/>
      <c r="D42" s="9"/>
      <c r="E42" s="9"/>
      <c r="F42" s="9"/>
      <c r="G42" s="9"/>
    </row>
    <row r="43" spans="2:7" ht="16.2" x14ac:dyDescent="0.85">
      <c r="D43" s="172" t="s">
        <v>210</v>
      </c>
      <c r="E43" s="172" t="s">
        <v>193</v>
      </c>
      <c r="F43" s="172" t="s">
        <v>210</v>
      </c>
      <c r="G43" s="172" t="s">
        <v>193</v>
      </c>
    </row>
    <row r="44" spans="2:7" x14ac:dyDescent="0.55000000000000004">
      <c r="B44" s="15" t="s">
        <v>21</v>
      </c>
      <c r="C44" s="3"/>
      <c r="D44" s="16">
        <f>D49-D48-D47-D46-D45</f>
        <v>3375.3333333333321</v>
      </c>
      <c r="E44" s="16">
        <f>E49-E48-E47-E46-E45</f>
        <v>3230</v>
      </c>
      <c r="F44" s="11">
        <f>D44/D$67</f>
        <v>0.24534793564644305</v>
      </c>
      <c r="G44" s="11">
        <f>E44/E$67</f>
        <v>0.22770532252379275</v>
      </c>
    </row>
    <row r="45" spans="2:7" x14ac:dyDescent="0.55000000000000004">
      <c r="B45" s="15" t="s">
        <v>22</v>
      </c>
      <c r="C45" s="3"/>
      <c r="D45" s="63">
        <v>550</v>
      </c>
      <c r="E45" s="3">
        <v>675</v>
      </c>
      <c r="F45" s="11">
        <f t="shared" ref="F45:G67" si="1">D45/D$67</f>
        <v>3.9978678038379532E-2</v>
      </c>
      <c r="G45" s="11">
        <f t="shared" si="1"/>
        <v>4.758547761720127E-2</v>
      </c>
    </row>
    <row r="46" spans="2:7" x14ac:dyDescent="0.55000000000000004">
      <c r="B46" s="15" t="s">
        <v>23</v>
      </c>
      <c r="C46" s="3"/>
      <c r="D46" s="3">
        <f>D10/1000</f>
        <v>2550</v>
      </c>
      <c r="E46" s="3">
        <v>2190</v>
      </c>
      <c r="F46" s="11">
        <f t="shared" si="1"/>
        <v>0.1853556890870324</v>
      </c>
      <c r="G46" s="11">
        <f t="shared" si="1"/>
        <v>0.15438843849136411</v>
      </c>
    </row>
    <row r="47" spans="2:7" x14ac:dyDescent="0.55000000000000004">
      <c r="B47" s="15" t="s">
        <v>8</v>
      </c>
      <c r="C47" s="3"/>
      <c r="D47" s="56">
        <f>D11/1000</f>
        <v>1420</v>
      </c>
      <c r="E47" s="3">
        <v>1560</v>
      </c>
      <c r="F47" s="11">
        <f t="shared" si="1"/>
        <v>0.10321767784454353</v>
      </c>
      <c r="G47" s="11">
        <f t="shared" si="1"/>
        <v>0.10997532604864294</v>
      </c>
    </row>
    <row r="48" spans="2:7" ht="16.2" x14ac:dyDescent="0.85">
      <c r="B48" s="17" t="s">
        <v>24</v>
      </c>
      <c r="C48" s="3"/>
      <c r="D48" s="64">
        <v>52</v>
      </c>
      <c r="E48" s="12">
        <v>45</v>
      </c>
      <c r="F48" s="11">
        <f t="shared" si="1"/>
        <v>3.779802287264974E-3</v>
      </c>
      <c r="G48" s="11">
        <f t="shared" si="1"/>
        <v>3.1723651744800848E-3</v>
      </c>
    </row>
    <row r="49" spans="2:11" x14ac:dyDescent="0.55000000000000004">
      <c r="B49" s="18" t="s">
        <v>25</v>
      </c>
      <c r="C49" s="18"/>
      <c r="D49" s="19">
        <f>D54-D53-D52</f>
        <v>7947.3333333333321</v>
      </c>
      <c r="E49" s="19">
        <f>E54-E53-E52</f>
        <v>7700</v>
      </c>
      <c r="F49" s="11">
        <f t="shared" si="1"/>
        <v>0.57767978290366351</v>
      </c>
      <c r="G49" s="11">
        <f t="shared" si="1"/>
        <v>0.54282692985548109</v>
      </c>
    </row>
    <row r="50" spans="2:11" x14ac:dyDescent="0.55000000000000004">
      <c r="B50" s="15" t="s">
        <v>26</v>
      </c>
      <c r="C50" s="3"/>
      <c r="D50" s="3">
        <f>E50+D14/1000</f>
        <v>9385</v>
      </c>
      <c r="E50" s="3">
        <v>9250</v>
      </c>
      <c r="F50" s="11">
        <f t="shared" si="1"/>
        <v>0.68218162434580354</v>
      </c>
      <c r="G50" s="11">
        <f t="shared" si="1"/>
        <v>0.65209728586535076</v>
      </c>
    </row>
    <row r="51" spans="2:11" ht="16.2" x14ac:dyDescent="0.85">
      <c r="B51" s="17" t="s">
        <v>27</v>
      </c>
      <c r="C51" s="3"/>
      <c r="D51" s="12">
        <f>E51+D28</f>
        <v>4435</v>
      </c>
      <c r="E51" s="12">
        <v>3590</v>
      </c>
      <c r="F51" s="11">
        <f t="shared" si="1"/>
        <v>0.32237352200038771</v>
      </c>
      <c r="G51" s="11">
        <f t="shared" si="1"/>
        <v>0.25308424391963341</v>
      </c>
    </row>
    <row r="52" spans="2:11" x14ac:dyDescent="0.55000000000000004">
      <c r="B52" s="18" t="s">
        <v>28</v>
      </c>
      <c r="C52" s="3"/>
      <c r="D52" s="19">
        <f>D50-D51</f>
        <v>4950</v>
      </c>
      <c r="E52" s="19">
        <f>E50-E51</f>
        <v>5660</v>
      </c>
      <c r="F52" s="11">
        <f t="shared" si="1"/>
        <v>0.35980810234541583</v>
      </c>
      <c r="G52" s="11">
        <f t="shared" si="1"/>
        <v>0.3990130419457173</v>
      </c>
    </row>
    <row r="53" spans="2:11" ht="16.2" x14ac:dyDescent="0.85">
      <c r="B53" s="20" t="s">
        <v>29</v>
      </c>
      <c r="C53" s="3"/>
      <c r="D53" s="64">
        <v>860</v>
      </c>
      <c r="E53" s="12">
        <v>825</v>
      </c>
      <c r="F53" s="11">
        <f t="shared" si="1"/>
        <v>6.2512114750920722E-2</v>
      </c>
      <c r="G53" s="11">
        <f t="shared" si="1"/>
        <v>5.8160028198801554E-2</v>
      </c>
    </row>
    <row r="54" spans="2:11" x14ac:dyDescent="0.55000000000000004">
      <c r="B54" s="21" t="s">
        <v>30</v>
      </c>
      <c r="C54" s="21"/>
      <c r="D54" s="22">
        <f>D67</f>
        <v>13757.333333333332</v>
      </c>
      <c r="E54" s="22">
        <f>E67</f>
        <v>14185</v>
      </c>
      <c r="F54" s="11">
        <f t="shared" si="1"/>
        <v>1</v>
      </c>
      <c r="G54" s="11">
        <f t="shared" si="1"/>
        <v>1</v>
      </c>
    </row>
    <row r="55" spans="2:11" x14ac:dyDescent="0.55000000000000004">
      <c r="B55" s="3"/>
      <c r="C55" s="3"/>
      <c r="D55" s="3"/>
      <c r="E55" s="3"/>
      <c r="F55" s="11"/>
      <c r="G55" s="11"/>
    </row>
    <row r="56" spans="2:11" x14ac:dyDescent="0.55000000000000004">
      <c r="B56" s="15" t="s">
        <v>31</v>
      </c>
      <c r="C56" s="3"/>
      <c r="D56" s="16">
        <f>D12/1000</f>
        <v>1045</v>
      </c>
      <c r="E56" s="16">
        <v>965</v>
      </c>
      <c r="F56" s="11">
        <f t="shared" si="1"/>
        <v>7.5959488272921122E-2</v>
      </c>
      <c r="G56" s="11">
        <f t="shared" si="1"/>
        <v>6.8029608741628486E-2</v>
      </c>
    </row>
    <row r="57" spans="2:11" x14ac:dyDescent="0.55000000000000004">
      <c r="B57" s="15" t="s">
        <v>32</v>
      </c>
      <c r="C57" s="3"/>
      <c r="D57" s="63">
        <v>70</v>
      </c>
      <c r="E57" s="3">
        <v>85</v>
      </c>
      <c r="F57" s="11">
        <f t="shared" si="1"/>
        <v>5.0881953867028496E-3</v>
      </c>
      <c r="G57" s="11">
        <f t="shared" si="1"/>
        <v>5.9922453295734928E-3</v>
      </c>
    </row>
    <row r="58" spans="2:11" x14ac:dyDescent="0.55000000000000004">
      <c r="B58" s="15" t="s">
        <v>33</v>
      </c>
      <c r="C58" s="3"/>
      <c r="D58" s="63">
        <v>150</v>
      </c>
      <c r="E58" s="3">
        <v>125</v>
      </c>
      <c r="F58" s="11">
        <f t="shared" si="1"/>
        <v>1.0903275828648964E-2</v>
      </c>
      <c r="G58" s="11">
        <f t="shared" si="1"/>
        <v>8.8121254846669009E-3</v>
      </c>
    </row>
    <row r="59" spans="2:11" ht="16.2" x14ac:dyDescent="0.85">
      <c r="B59" s="17" t="s">
        <v>34</v>
      </c>
      <c r="C59" s="3"/>
      <c r="D59" s="64">
        <v>450</v>
      </c>
      <c r="E59" s="12">
        <v>320</v>
      </c>
      <c r="F59" s="11">
        <f t="shared" si="1"/>
        <v>3.2709827485946891E-2</v>
      </c>
      <c r="G59" s="11">
        <f t="shared" si="1"/>
        <v>2.2559041240747268E-2</v>
      </c>
    </row>
    <row r="60" spans="2:11" x14ac:dyDescent="0.55000000000000004">
      <c r="B60" s="18" t="s">
        <v>35</v>
      </c>
      <c r="C60" s="3"/>
      <c r="D60" s="19">
        <f>SUM(D56:D59)</f>
        <v>1715</v>
      </c>
      <c r="E60" s="19">
        <f>SUM(E56:E59)</f>
        <v>1495</v>
      </c>
      <c r="F60" s="11">
        <f t="shared" si="1"/>
        <v>0.12466078697421983</v>
      </c>
      <c r="G60" s="11">
        <f t="shared" si="1"/>
        <v>0.10539302079661614</v>
      </c>
    </row>
    <row r="61" spans="2:11" ht="16.2" x14ac:dyDescent="0.85">
      <c r="B61" s="17" t="s">
        <v>36</v>
      </c>
      <c r="C61" s="3"/>
      <c r="D61" s="64">
        <v>3500</v>
      </c>
      <c r="E61" s="12">
        <v>3850</v>
      </c>
      <c r="F61" s="11">
        <f t="shared" si="1"/>
        <v>0.25440976933514248</v>
      </c>
      <c r="G61" s="11">
        <f t="shared" si="1"/>
        <v>0.27141346492774054</v>
      </c>
    </row>
    <row r="62" spans="2:11" x14ac:dyDescent="0.55000000000000004">
      <c r="B62" s="18" t="s">
        <v>37</v>
      </c>
      <c r="C62" s="3"/>
      <c r="D62" s="19">
        <f>D60+D61</f>
        <v>5215</v>
      </c>
      <c r="E62" s="19">
        <f>E60+E61</f>
        <v>5345</v>
      </c>
      <c r="F62" s="11">
        <f t="shared" si="1"/>
        <v>0.37907055630936232</v>
      </c>
      <c r="G62" s="11">
        <f t="shared" si="1"/>
        <v>0.37680648572435671</v>
      </c>
    </row>
    <row r="63" spans="2:11" x14ac:dyDescent="0.55000000000000004">
      <c r="B63" s="15" t="s">
        <v>38</v>
      </c>
      <c r="C63" s="3"/>
      <c r="D63" s="63">
        <v>4525</v>
      </c>
      <c r="E63" s="3">
        <v>4525</v>
      </c>
      <c r="F63" s="11">
        <f t="shared" si="1"/>
        <v>0.3289154874975771</v>
      </c>
      <c r="G63" s="11">
        <f t="shared" si="1"/>
        <v>0.31899894254494182</v>
      </c>
      <c r="K63">
        <f>6277-6158</f>
        <v>119</v>
      </c>
    </row>
    <row r="64" spans="2:11" x14ac:dyDescent="0.55000000000000004">
      <c r="B64" s="15" t="s">
        <v>39</v>
      </c>
      <c r="C64" s="3"/>
      <c r="D64" s="63">
        <v>1450</v>
      </c>
      <c r="E64" s="3">
        <v>1450</v>
      </c>
      <c r="F64" s="11">
        <f t="shared" si="1"/>
        <v>0.10539833301027332</v>
      </c>
      <c r="G64" s="11">
        <f t="shared" si="1"/>
        <v>0.10222065562213606</v>
      </c>
    </row>
    <row r="65" spans="2:7" ht="16.2" x14ac:dyDescent="0.85">
      <c r="B65" s="17" t="s">
        <v>40</v>
      </c>
      <c r="C65" s="3"/>
      <c r="D65" s="12">
        <f>D33-(D13*D4/1000)+E65</f>
        <v>2567.333333333333</v>
      </c>
      <c r="E65" s="12">
        <v>2865</v>
      </c>
      <c r="F65" s="11">
        <f t="shared" si="1"/>
        <v>0.18661562318278735</v>
      </c>
      <c r="G65" s="11">
        <f t="shared" si="1"/>
        <v>0.20197391610856538</v>
      </c>
    </row>
    <row r="66" spans="2:7" ht="16.2" x14ac:dyDescent="0.85">
      <c r="B66" s="23" t="s">
        <v>41</v>
      </c>
      <c r="C66" s="3"/>
      <c r="D66" s="24">
        <f>D63+D64+D65</f>
        <v>8542.3333333333321</v>
      </c>
      <c r="E66" s="24">
        <f>E63+E64+E65</f>
        <v>8840</v>
      </c>
      <c r="F66" s="11">
        <f t="shared" si="1"/>
        <v>0.62092944369063774</v>
      </c>
      <c r="G66" s="11">
        <f t="shared" si="1"/>
        <v>0.62319351427564329</v>
      </c>
    </row>
    <row r="67" spans="2:7" x14ac:dyDescent="0.55000000000000004">
      <c r="B67" s="21" t="s">
        <v>42</v>
      </c>
      <c r="C67" s="21"/>
      <c r="D67" s="22">
        <f>D66+D62</f>
        <v>13757.333333333332</v>
      </c>
      <c r="E67" s="22">
        <f>E66+E62</f>
        <v>14185</v>
      </c>
      <c r="F67" s="11">
        <f t="shared" si="1"/>
        <v>1</v>
      </c>
      <c r="G67" s="11">
        <f t="shared" si="1"/>
        <v>1</v>
      </c>
    </row>
    <row r="68" spans="2:7" ht="14.7" thickBot="1" x14ac:dyDescent="0.6">
      <c r="B68" s="25"/>
      <c r="C68" s="25"/>
      <c r="D68" s="26"/>
      <c r="E68" s="26"/>
    </row>
    <row r="69" spans="2:7" ht="18.3" x14ac:dyDescent="0.7">
      <c r="B69" s="178" t="s">
        <v>43</v>
      </c>
      <c r="C69" s="178"/>
      <c r="D69" s="178"/>
      <c r="E69" s="178"/>
    </row>
    <row r="70" spans="2:7" ht="18.600000000000001" thickBot="1" x14ac:dyDescent="0.75">
      <c r="B70" s="179" t="s">
        <v>11</v>
      </c>
      <c r="C70" s="179"/>
      <c r="D70" s="179"/>
      <c r="E70" s="179"/>
    </row>
    <row r="72" spans="2:7" ht="16.2" x14ac:dyDescent="0.85">
      <c r="D72" s="180" t="s">
        <v>210</v>
      </c>
      <c r="E72" s="180"/>
    </row>
    <row r="73" spans="2:7" ht="15.6" x14ac:dyDescent="0.6">
      <c r="B73" s="27" t="s">
        <v>44</v>
      </c>
      <c r="C73" s="3"/>
      <c r="D73" s="3"/>
    </row>
    <row r="74" spans="2:7" x14ac:dyDescent="0.55000000000000004">
      <c r="B74" s="15" t="s">
        <v>45</v>
      </c>
      <c r="C74" s="3"/>
      <c r="D74" s="3"/>
    </row>
    <row r="75" spans="2:7" x14ac:dyDescent="0.55000000000000004">
      <c r="B75" s="15" t="s">
        <v>46</v>
      </c>
      <c r="C75" s="3"/>
    </row>
    <row r="76" spans="2:7" x14ac:dyDescent="0.55000000000000004">
      <c r="B76" s="15" t="s">
        <v>47</v>
      </c>
      <c r="C76" s="3"/>
      <c r="D76" s="57">
        <f>E45-D45</f>
        <v>125</v>
      </c>
    </row>
    <row r="77" spans="2:7" x14ac:dyDescent="0.55000000000000004">
      <c r="B77" s="15" t="s">
        <v>48</v>
      </c>
      <c r="C77" s="3"/>
    </row>
    <row r="78" spans="2:7" x14ac:dyDescent="0.55000000000000004">
      <c r="B78" s="15" t="s">
        <v>49</v>
      </c>
      <c r="C78" s="3"/>
      <c r="D78" s="166">
        <f>E47-D47</f>
        <v>140</v>
      </c>
    </row>
    <row r="79" spans="2:7" x14ac:dyDescent="0.55000000000000004">
      <c r="B79" s="15" t="s">
        <v>50</v>
      </c>
      <c r="C79" s="3"/>
      <c r="D79" s="98"/>
    </row>
    <row r="80" spans="2:7" x14ac:dyDescent="0.55000000000000004">
      <c r="B80" s="15" t="s">
        <v>51</v>
      </c>
      <c r="C80" s="3"/>
      <c r="D80" s="57">
        <f>D56-E56</f>
        <v>80</v>
      </c>
    </row>
    <row r="81" spans="2:4" ht="16.2" x14ac:dyDescent="0.85">
      <c r="B81" s="17" t="s">
        <v>52</v>
      </c>
      <c r="C81" s="3"/>
    </row>
    <row r="82" spans="2:4" x14ac:dyDescent="0.55000000000000004">
      <c r="B82" s="18" t="s">
        <v>53</v>
      </c>
      <c r="C82" s="18"/>
      <c r="D82" s="18"/>
    </row>
    <row r="83" spans="2:4" x14ac:dyDescent="0.55000000000000004">
      <c r="B83" s="3"/>
      <c r="C83" s="3"/>
      <c r="D83" s="3"/>
    </row>
    <row r="84" spans="2:4" x14ac:dyDescent="0.55000000000000004">
      <c r="B84" s="18" t="s">
        <v>54</v>
      </c>
      <c r="C84" s="3"/>
      <c r="D84" s="3"/>
    </row>
    <row r="85" spans="2:4" x14ac:dyDescent="0.55000000000000004">
      <c r="B85" s="15" t="s">
        <v>55</v>
      </c>
      <c r="C85" s="3"/>
    </row>
    <row r="86" spans="2:4" ht="16.2" x14ac:dyDescent="0.85">
      <c r="B86" s="17" t="s">
        <v>56</v>
      </c>
      <c r="C86" s="3"/>
      <c r="D86" s="57">
        <f>E53-D53</f>
        <v>-35</v>
      </c>
    </row>
    <row r="87" spans="2:4" x14ac:dyDescent="0.55000000000000004">
      <c r="B87" s="18" t="s">
        <v>57</v>
      </c>
      <c r="C87" s="18"/>
      <c r="D87" s="18"/>
    </row>
    <row r="88" spans="2:4" x14ac:dyDescent="0.55000000000000004">
      <c r="B88" s="3"/>
      <c r="C88" s="3"/>
    </row>
    <row r="89" spans="2:4" x14ac:dyDescent="0.55000000000000004">
      <c r="B89" s="18" t="s">
        <v>58</v>
      </c>
      <c r="C89" s="3"/>
      <c r="D89" s="3"/>
    </row>
    <row r="90" spans="2:4" x14ac:dyDescent="0.55000000000000004">
      <c r="B90" s="15" t="s">
        <v>98</v>
      </c>
      <c r="C90" s="3"/>
    </row>
    <row r="91" spans="2:4" x14ac:dyDescent="0.55000000000000004">
      <c r="B91" s="15" t="s">
        <v>59</v>
      </c>
      <c r="C91" s="3"/>
      <c r="D91" s="57">
        <f>D61-E61</f>
        <v>-350</v>
      </c>
    </row>
    <row r="92" spans="2:4" x14ac:dyDescent="0.55000000000000004">
      <c r="B92" s="15" t="s">
        <v>60</v>
      </c>
      <c r="C92" s="3"/>
    </row>
    <row r="93" spans="2:4" x14ac:dyDescent="0.55000000000000004">
      <c r="B93" s="15" t="s">
        <v>61</v>
      </c>
      <c r="C93" s="3"/>
      <c r="D93" s="18"/>
    </row>
    <row r="94" spans="2:4" ht="16.2" x14ac:dyDescent="0.85">
      <c r="B94" s="17" t="s">
        <v>62</v>
      </c>
      <c r="C94" s="3"/>
      <c r="D94" s="57">
        <f>-D13*D4/1000</f>
        <v>-87.5</v>
      </c>
    </row>
    <row r="95" spans="2:4" x14ac:dyDescent="0.55000000000000004">
      <c r="B95" s="18" t="s">
        <v>63</v>
      </c>
      <c r="C95" s="3"/>
      <c r="D95" s="18"/>
    </row>
    <row r="96" spans="2:4" x14ac:dyDescent="0.55000000000000004">
      <c r="B96" s="3"/>
      <c r="C96" s="3"/>
      <c r="D96" s="3"/>
    </row>
    <row r="97" spans="2:4" x14ac:dyDescent="0.55000000000000004">
      <c r="B97" s="21" t="s">
        <v>64</v>
      </c>
      <c r="C97" s="21"/>
      <c r="D97" s="21"/>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T55"/>
  <sheetViews>
    <sheetView topLeftCell="A33" zoomScaleNormal="100" workbookViewId="0">
      <selection activeCell="B20" sqref="B20:N55"/>
    </sheetView>
  </sheetViews>
  <sheetFormatPr defaultRowHeight="14.4" x14ac:dyDescent="0.55000000000000004"/>
  <cols>
    <col min="2" max="2" width="33.41796875" customWidth="1"/>
    <col min="5" max="14" width="9.89453125" customWidth="1"/>
  </cols>
  <sheetData>
    <row r="19" spans="2:20" ht="14.7" thickBot="1" x14ac:dyDescent="0.6">
      <c r="B19" s="30"/>
      <c r="C19" s="30"/>
      <c r="D19" s="30"/>
      <c r="E19" s="30"/>
      <c r="F19" s="30"/>
      <c r="G19" s="30"/>
      <c r="H19" s="30"/>
      <c r="I19" s="30"/>
      <c r="J19" s="30"/>
      <c r="K19" s="30"/>
      <c r="L19" s="30"/>
      <c r="M19" s="30"/>
      <c r="N19" s="30"/>
    </row>
    <row r="20" spans="2:20" ht="22.5" customHeight="1" thickBot="1" x14ac:dyDescent="0.6">
      <c r="B20" s="183" t="s">
        <v>93</v>
      </c>
      <c r="C20" s="184"/>
      <c r="D20" s="184"/>
      <c r="E20" s="184"/>
      <c r="F20" s="184"/>
      <c r="G20" s="184"/>
      <c r="H20" s="184"/>
      <c r="I20" s="184"/>
      <c r="J20" s="184"/>
      <c r="K20" s="184"/>
      <c r="L20" s="184"/>
      <c r="M20" s="184"/>
      <c r="N20" s="185"/>
    </row>
    <row r="21" spans="2:20" ht="14.7" thickBot="1" x14ac:dyDescent="0.6">
      <c r="B21" s="30"/>
      <c r="C21" s="30"/>
      <c r="D21" s="30"/>
      <c r="E21" s="30"/>
      <c r="F21" s="30"/>
      <c r="G21" s="30"/>
      <c r="H21" s="30"/>
      <c r="I21" s="30"/>
      <c r="J21" s="30"/>
      <c r="K21" s="30"/>
      <c r="L21" s="30"/>
      <c r="M21" s="30"/>
      <c r="N21" s="30"/>
    </row>
    <row r="22" spans="2:20" ht="14.7" thickBot="1" x14ac:dyDescent="0.6">
      <c r="B22" s="46" t="s">
        <v>99</v>
      </c>
      <c r="C22" s="31"/>
      <c r="D22" s="30"/>
      <c r="E22" s="30"/>
      <c r="F22" s="44">
        <v>0.4</v>
      </c>
      <c r="G22" s="30"/>
      <c r="H22" s="33" t="s">
        <v>100</v>
      </c>
      <c r="I22" s="30"/>
      <c r="J22" s="30"/>
      <c r="K22" s="30"/>
      <c r="L22" s="43">
        <v>85000</v>
      </c>
      <c r="M22" s="30"/>
      <c r="N22" s="30"/>
    </row>
    <row r="23" spans="2:20" ht="14.7" thickBot="1" x14ac:dyDescent="0.6">
      <c r="B23" s="46" t="s">
        <v>101</v>
      </c>
      <c r="C23" s="31"/>
      <c r="D23" s="30"/>
      <c r="E23" s="30"/>
      <c r="F23" s="44">
        <v>0.25</v>
      </c>
      <c r="G23" s="30"/>
      <c r="H23" s="30"/>
      <c r="I23" s="30"/>
      <c r="J23" s="30"/>
      <c r="K23" s="30"/>
      <c r="L23" s="30"/>
      <c r="M23" s="30"/>
      <c r="N23" s="30"/>
      <c r="T23" t="s">
        <v>78</v>
      </c>
    </row>
    <row r="24" spans="2:20" ht="14.7" thickBot="1" x14ac:dyDescent="0.6">
      <c r="B24" s="46" t="s">
        <v>102</v>
      </c>
      <c r="C24" s="31"/>
      <c r="D24" s="30"/>
      <c r="E24" s="30"/>
      <c r="F24" s="44">
        <v>0.35</v>
      </c>
      <c r="G24" s="30"/>
      <c r="H24" s="33" t="s">
        <v>103</v>
      </c>
      <c r="I24" s="30"/>
      <c r="J24" s="30"/>
      <c r="K24" s="30"/>
      <c r="L24" s="38" t="s">
        <v>135</v>
      </c>
      <c r="M24" s="30"/>
      <c r="N24" s="30"/>
      <c r="T24" t="s">
        <v>134</v>
      </c>
    </row>
    <row r="25" spans="2:20" ht="14.7" thickBot="1" x14ac:dyDescent="0.6">
      <c r="B25" s="36"/>
      <c r="C25" s="31"/>
      <c r="D25" s="30"/>
      <c r="E25" s="30"/>
      <c r="F25" s="98"/>
      <c r="G25" s="30"/>
      <c r="H25" s="30"/>
      <c r="I25" s="30"/>
      <c r="J25" s="30"/>
      <c r="K25" s="30"/>
      <c r="L25" s="30"/>
      <c r="M25" s="30"/>
      <c r="N25" s="30"/>
      <c r="T25" t="s">
        <v>135</v>
      </c>
    </row>
    <row r="26" spans="2:20" ht="14.7" thickBot="1" x14ac:dyDescent="0.6">
      <c r="B26" s="33" t="s">
        <v>104</v>
      </c>
      <c r="C26" s="31"/>
      <c r="D26" s="30"/>
      <c r="E26" s="30"/>
      <c r="F26" s="44">
        <v>0.28000000000000003</v>
      </c>
      <c r="G26" s="30"/>
      <c r="H26" s="46" t="s">
        <v>94</v>
      </c>
      <c r="I26" s="30"/>
      <c r="J26" s="30"/>
      <c r="K26" s="30"/>
      <c r="L26" s="43">
        <v>30000</v>
      </c>
      <c r="M26" s="30"/>
      <c r="N26" s="30"/>
      <c r="T26" t="s">
        <v>136</v>
      </c>
    </row>
    <row r="27" spans="2:20" x14ac:dyDescent="0.55000000000000004">
      <c r="B27" s="30"/>
      <c r="C27" s="31"/>
      <c r="D27" s="30"/>
      <c r="E27" s="30"/>
      <c r="F27" s="30"/>
      <c r="G27" s="30"/>
      <c r="H27" s="30"/>
      <c r="I27" s="30"/>
      <c r="J27" s="30"/>
      <c r="K27" s="30"/>
      <c r="L27" s="30"/>
      <c r="M27" s="30"/>
      <c r="N27" s="30"/>
    </row>
    <row r="28" spans="2:20" ht="16.2" x14ac:dyDescent="0.85">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55000000000000004">
      <c r="B29" s="33" t="s">
        <v>105</v>
      </c>
      <c r="C29" s="59">
        <v>15000</v>
      </c>
      <c r="D29" s="59">
        <v>16825</v>
      </c>
      <c r="E29" s="59">
        <v>17425</v>
      </c>
      <c r="F29" s="58">
        <v>16250</v>
      </c>
      <c r="G29" s="58">
        <v>15540</v>
      </c>
      <c r="H29" s="58">
        <v>17985</v>
      </c>
      <c r="I29" s="58">
        <v>20500</v>
      </c>
      <c r="J29" s="58">
        <v>23480</v>
      </c>
      <c r="K29" s="58">
        <v>22250</v>
      </c>
      <c r="L29" s="58">
        <v>19670</v>
      </c>
      <c r="M29" s="58">
        <v>23400</v>
      </c>
      <c r="N29" s="58">
        <v>24980</v>
      </c>
    </row>
    <row r="30" spans="2:20" x14ac:dyDescent="0.55000000000000004">
      <c r="B30" s="30"/>
      <c r="C30" s="31"/>
      <c r="D30" s="31"/>
      <c r="E30" s="31"/>
      <c r="F30" s="31"/>
      <c r="G30" s="31"/>
      <c r="H30" s="31"/>
      <c r="I30" s="31"/>
      <c r="J30" s="31"/>
      <c r="K30" s="31"/>
      <c r="L30" s="31"/>
      <c r="M30" s="31"/>
      <c r="N30" s="31"/>
    </row>
    <row r="31" spans="2:20" x14ac:dyDescent="0.55000000000000004">
      <c r="B31" s="36" t="s">
        <v>106</v>
      </c>
      <c r="C31" s="31"/>
      <c r="D31" s="31"/>
      <c r="E31" s="31"/>
      <c r="F31" s="48">
        <f t="shared" ref="F31:N31" si="0">F29*Collect0+E29*Collect1+D29*Collect2</f>
        <v>16745</v>
      </c>
      <c r="G31" s="48">
        <f t="shared" si="0"/>
        <v>16377.25</v>
      </c>
      <c r="H31" s="48">
        <f t="shared" si="0"/>
        <v>16766.5</v>
      </c>
      <c r="I31" s="48">
        <f t="shared" si="0"/>
        <v>18135.25</v>
      </c>
      <c r="J31" s="48">
        <f t="shared" si="0"/>
        <v>20811.75</v>
      </c>
      <c r="K31" s="48">
        <f t="shared" si="0"/>
        <v>21945</v>
      </c>
      <c r="L31" s="48">
        <f t="shared" si="0"/>
        <v>21648.5</v>
      </c>
      <c r="M31" s="48">
        <f t="shared" si="0"/>
        <v>22065</v>
      </c>
      <c r="N31" s="48">
        <f t="shared" si="0"/>
        <v>22726.5</v>
      </c>
    </row>
    <row r="32" spans="2:20" x14ac:dyDescent="0.55000000000000004">
      <c r="B32" s="36"/>
      <c r="C32" s="31"/>
      <c r="D32" s="31"/>
      <c r="E32" s="31"/>
      <c r="F32" s="31"/>
      <c r="G32" s="31"/>
      <c r="H32" s="31"/>
      <c r="I32" s="31"/>
      <c r="J32" s="31"/>
      <c r="K32" s="31"/>
      <c r="L32" s="31"/>
      <c r="M32" s="31"/>
      <c r="N32" s="31"/>
    </row>
    <row r="33" spans="2:15" x14ac:dyDescent="0.55000000000000004">
      <c r="B33" s="36" t="s">
        <v>107</v>
      </c>
      <c r="C33" s="31"/>
      <c r="D33" s="31"/>
      <c r="E33" s="31"/>
      <c r="F33" s="48">
        <f>F29*$F$26</f>
        <v>4550</v>
      </c>
      <c r="G33" s="48">
        <f t="shared" ref="G33:N33" si="1">G29*$F$26</f>
        <v>4351.2000000000007</v>
      </c>
      <c r="H33" s="48">
        <f t="shared" si="1"/>
        <v>5035.8</v>
      </c>
      <c r="I33" s="48">
        <f t="shared" si="1"/>
        <v>5740.0000000000009</v>
      </c>
      <c r="J33" s="48">
        <f t="shared" si="1"/>
        <v>6574.4000000000005</v>
      </c>
      <c r="K33" s="48">
        <f t="shared" si="1"/>
        <v>6230.0000000000009</v>
      </c>
      <c r="L33" s="48">
        <f t="shared" si="1"/>
        <v>5507.6</v>
      </c>
      <c r="M33" s="48">
        <f t="shared" si="1"/>
        <v>6552.0000000000009</v>
      </c>
      <c r="N33" s="48">
        <f t="shared" si="1"/>
        <v>6994.4000000000005</v>
      </c>
      <c r="O33" s="30"/>
    </row>
    <row r="34" spans="2:15" x14ac:dyDescent="0.55000000000000004">
      <c r="B34" s="36" t="s">
        <v>3</v>
      </c>
      <c r="C34" s="31"/>
      <c r="D34" s="31"/>
      <c r="E34" s="31"/>
      <c r="F34" s="45">
        <v>3000</v>
      </c>
      <c r="G34" s="167">
        <v>3000</v>
      </c>
      <c r="H34" s="167">
        <v>3000</v>
      </c>
      <c r="I34" s="167">
        <v>3000</v>
      </c>
      <c r="J34" s="167">
        <v>3000</v>
      </c>
      <c r="K34" s="167">
        <v>3000</v>
      </c>
      <c r="L34" s="167">
        <v>3000</v>
      </c>
      <c r="M34" s="167">
        <v>3000</v>
      </c>
      <c r="N34" s="167">
        <v>3000</v>
      </c>
      <c r="O34" s="30"/>
    </row>
    <row r="35" spans="2:15" x14ac:dyDescent="0.55000000000000004">
      <c r="B35" s="36" t="s">
        <v>96</v>
      </c>
      <c r="C35" s="31"/>
      <c r="D35" s="31"/>
      <c r="E35" s="31"/>
      <c r="F35" s="45">
        <v>1250</v>
      </c>
      <c r="G35" s="45">
        <v>0</v>
      </c>
      <c r="H35" s="45">
        <v>0</v>
      </c>
      <c r="I35" s="45">
        <v>1250</v>
      </c>
      <c r="J35" s="45">
        <v>0</v>
      </c>
      <c r="K35" s="45">
        <v>0</v>
      </c>
      <c r="L35" s="45">
        <v>1250</v>
      </c>
      <c r="M35" s="45">
        <v>0</v>
      </c>
      <c r="N35" s="45">
        <v>0</v>
      </c>
      <c r="O35" s="30"/>
    </row>
    <row r="36" spans="2:15" x14ac:dyDescent="0.55000000000000004">
      <c r="B36" s="36" t="s">
        <v>108</v>
      </c>
      <c r="C36" s="31"/>
      <c r="D36" s="31"/>
      <c r="E36" s="31"/>
      <c r="F36" s="45">
        <v>0</v>
      </c>
      <c r="G36" s="48">
        <f>IF($L$24="May",$L$22,0)</f>
        <v>0</v>
      </c>
      <c r="H36" s="48">
        <f>IF($L$24="June",$L$22,0)</f>
        <v>0</v>
      </c>
      <c r="I36" s="48">
        <f>IF($L$24="July",$L$22,0)</f>
        <v>85000</v>
      </c>
      <c r="J36" s="48">
        <f>IF($L$24="August",$L$22,0)</f>
        <v>0</v>
      </c>
      <c r="K36" s="45">
        <v>0</v>
      </c>
      <c r="L36" s="45">
        <v>0</v>
      </c>
      <c r="M36" s="45">
        <v>0</v>
      </c>
      <c r="N36" s="45">
        <v>0</v>
      </c>
      <c r="O36" s="30"/>
    </row>
    <row r="37" spans="2:15" ht="16.2" x14ac:dyDescent="0.85">
      <c r="B37" s="49" t="s">
        <v>97</v>
      </c>
      <c r="C37" s="31"/>
      <c r="D37" s="31"/>
      <c r="E37" s="31"/>
      <c r="F37" s="47">
        <v>850</v>
      </c>
      <c r="G37" s="47">
        <v>0</v>
      </c>
      <c r="H37" s="47">
        <v>0</v>
      </c>
      <c r="I37" s="47">
        <v>980</v>
      </c>
      <c r="J37" s="47">
        <v>0</v>
      </c>
      <c r="K37" s="47">
        <v>0</v>
      </c>
      <c r="L37" s="47">
        <v>1025</v>
      </c>
      <c r="M37" s="47">
        <v>0</v>
      </c>
      <c r="N37" s="47">
        <v>0</v>
      </c>
      <c r="O37" s="30"/>
    </row>
    <row r="38" spans="2:15" x14ac:dyDescent="0.55000000000000004">
      <c r="B38" s="36" t="s">
        <v>109</v>
      </c>
      <c r="C38" s="31"/>
      <c r="D38" s="31"/>
      <c r="E38" s="31"/>
      <c r="F38" s="45">
        <f>SUM(F33:F37)</f>
        <v>9650</v>
      </c>
      <c r="G38" s="59">
        <f t="shared" ref="G38:N38" si="2">SUM(G33:G37)</f>
        <v>7351.2000000000007</v>
      </c>
      <c r="H38" s="59">
        <f t="shared" si="2"/>
        <v>8035.8</v>
      </c>
      <c r="I38" s="59">
        <f t="shared" si="2"/>
        <v>95970</v>
      </c>
      <c r="J38" s="59">
        <f t="shared" si="2"/>
        <v>9574.4000000000015</v>
      </c>
      <c r="K38" s="59">
        <f t="shared" si="2"/>
        <v>9230</v>
      </c>
      <c r="L38" s="59">
        <f t="shared" si="2"/>
        <v>10782.6</v>
      </c>
      <c r="M38" s="59">
        <f t="shared" si="2"/>
        <v>9552</v>
      </c>
      <c r="N38" s="59">
        <f t="shared" si="2"/>
        <v>9994.4000000000015</v>
      </c>
      <c r="O38" s="30"/>
    </row>
    <row r="39" spans="2:15" ht="14.7" thickBot="1" x14ac:dyDescent="0.6">
      <c r="B39" s="32"/>
      <c r="C39" s="32"/>
      <c r="D39" s="32"/>
      <c r="E39" s="32"/>
      <c r="F39" s="32"/>
      <c r="G39" s="32"/>
      <c r="H39" s="32"/>
      <c r="I39" s="32"/>
      <c r="J39" s="32"/>
      <c r="K39" s="32"/>
      <c r="L39" s="32"/>
      <c r="M39" s="32"/>
      <c r="N39" s="32"/>
      <c r="O39" s="30"/>
    </row>
    <row r="40" spans="2:15" ht="21.6" customHeight="1" thickBot="1" x14ac:dyDescent="0.6">
      <c r="B40" s="186" t="s">
        <v>95</v>
      </c>
      <c r="C40" s="186"/>
      <c r="D40" s="186"/>
      <c r="E40" s="186"/>
      <c r="F40" s="186"/>
      <c r="G40" s="186"/>
      <c r="H40" s="186"/>
      <c r="I40" s="186"/>
      <c r="J40" s="186"/>
      <c r="K40" s="186"/>
      <c r="L40" s="186"/>
      <c r="M40" s="186"/>
      <c r="N40" s="186"/>
      <c r="O40" s="30"/>
    </row>
    <row r="41" spans="2:15" ht="21.6" customHeight="1" thickBot="1" x14ac:dyDescent="0.6">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55000000000000004">
      <c r="B42" s="33" t="s">
        <v>86</v>
      </c>
      <c r="C42" s="33"/>
      <c r="D42" s="33"/>
      <c r="E42" s="33"/>
      <c r="F42" s="33">
        <f>E46</f>
        <v>22500</v>
      </c>
      <c r="G42" s="60">
        <f t="shared" ref="G42:N42" si="3">F46</f>
        <v>30000</v>
      </c>
      <c r="H42" s="60">
        <f t="shared" si="3"/>
        <v>30000</v>
      </c>
      <c r="I42" s="60">
        <f t="shared" si="3"/>
        <v>30000</v>
      </c>
      <c r="J42" s="60">
        <f t="shared" si="3"/>
        <v>30000</v>
      </c>
      <c r="K42" s="60">
        <f t="shared" si="3"/>
        <v>30000</v>
      </c>
      <c r="L42" s="60">
        <f t="shared" si="3"/>
        <v>30000</v>
      </c>
      <c r="M42" s="60">
        <f t="shared" si="3"/>
        <v>30000</v>
      </c>
      <c r="N42" s="60">
        <f t="shared" si="3"/>
        <v>30000</v>
      </c>
      <c r="O42" s="30"/>
    </row>
    <row r="43" spans="2:15" ht="16.2" x14ac:dyDescent="0.85">
      <c r="B43" s="34" t="s">
        <v>87</v>
      </c>
      <c r="C43" s="35"/>
      <c r="D43" s="35"/>
      <c r="E43" s="35"/>
      <c r="F43" s="35">
        <f>F31-F38</f>
        <v>7095</v>
      </c>
      <c r="G43" s="35">
        <f t="shared" ref="G43:N43" si="4">G31-G38</f>
        <v>9026.0499999999993</v>
      </c>
      <c r="H43" s="35">
        <f t="shared" si="4"/>
        <v>8730.7000000000007</v>
      </c>
      <c r="I43" s="35">
        <f t="shared" si="4"/>
        <v>-77834.75</v>
      </c>
      <c r="J43" s="35">
        <f t="shared" si="4"/>
        <v>11237.349999999999</v>
      </c>
      <c r="K43" s="35">
        <f t="shared" si="4"/>
        <v>12715</v>
      </c>
      <c r="L43" s="35">
        <f t="shared" si="4"/>
        <v>10865.9</v>
      </c>
      <c r="M43" s="35">
        <f t="shared" si="4"/>
        <v>12513</v>
      </c>
      <c r="N43" s="35">
        <f t="shared" si="4"/>
        <v>12732.099999999999</v>
      </c>
      <c r="O43" s="30"/>
    </row>
    <row r="44" spans="2:15" x14ac:dyDescent="0.55000000000000004">
      <c r="B44" s="36" t="s">
        <v>88</v>
      </c>
      <c r="C44" s="36"/>
      <c r="D44" s="36"/>
      <c r="E44" s="36"/>
      <c r="F44" s="36">
        <f>F42+F43</f>
        <v>29595</v>
      </c>
      <c r="G44" s="61">
        <f t="shared" ref="G44:N44" si="5">G42+G43</f>
        <v>39026.050000000003</v>
      </c>
      <c r="H44" s="61">
        <f t="shared" si="5"/>
        <v>38730.699999999997</v>
      </c>
      <c r="I44" s="61">
        <f t="shared" si="5"/>
        <v>-47834.75</v>
      </c>
      <c r="J44" s="61">
        <f t="shared" si="5"/>
        <v>41237.35</v>
      </c>
      <c r="K44" s="61">
        <f t="shared" si="5"/>
        <v>42715</v>
      </c>
      <c r="L44" s="61">
        <f t="shared" si="5"/>
        <v>40865.9</v>
      </c>
      <c r="M44" s="61">
        <f t="shared" si="5"/>
        <v>42513</v>
      </c>
      <c r="N44" s="61">
        <f t="shared" si="5"/>
        <v>42732.1</v>
      </c>
      <c r="O44" s="36"/>
    </row>
    <row r="45" spans="2:15" ht="16.2" x14ac:dyDescent="0.85">
      <c r="B45" s="34" t="s">
        <v>89</v>
      </c>
      <c r="C45" s="35"/>
      <c r="D45" s="35"/>
      <c r="E45" s="35"/>
      <c r="F45" s="35">
        <f>F46-F44</f>
        <v>405</v>
      </c>
      <c r="G45" s="35">
        <f t="shared" ref="G45:N45" si="6">G46-G44</f>
        <v>-9026.0500000000029</v>
      </c>
      <c r="H45" s="35">
        <f t="shared" si="6"/>
        <v>-8730.6999999999971</v>
      </c>
      <c r="I45" s="35">
        <f t="shared" si="6"/>
        <v>77834.75</v>
      </c>
      <c r="J45" s="35">
        <f t="shared" si="6"/>
        <v>-11237.349999999999</v>
      </c>
      <c r="K45" s="35">
        <f t="shared" si="6"/>
        <v>-12715</v>
      </c>
      <c r="L45" s="35">
        <f t="shared" si="6"/>
        <v>-10865.900000000001</v>
      </c>
      <c r="M45" s="35">
        <f t="shared" si="6"/>
        <v>-12513</v>
      </c>
      <c r="N45" s="35">
        <f t="shared" si="6"/>
        <v>-12732.099999999999</v>
      </c>
      <c r="O45" s="30"/>
    </row>
    <row r="46" spans="2:15" x14ac:dyDescent="0.55000000000000004">
      <c r="B46" s="36" t="s">
        <v>90</v>
      </c>
      <c r="C46" s="36"/>
      <c r="D46" s="36"/>
      <c r="E46" s="36">
        <v>22500</v>
      </c>
      <c r="F46" s="36">
        <f>L26</f>
        <v>30000</v>
      </c>
      <c r="G46" s="36">
        <f>F46</f>
        <v>30000</v>
      </c>
      <c r="H46" s="61">
        <f t="shared" ref="H46:N46" si="7">G46</f>
        <v>30000</v>
      </c>
      <c r="I46" s="61">
        <f t="shared" si="7"/>
        <v>30000</v>
      </c>
      <c r="J46" s="61">
        <f t="shared" si="7"/>
        <v>30000</v>
      </c>
      <c r="K46" s="61">
        <f t="shared" si="7"/>
        <v>30000</v>
      </c>
      <c r="L46" s="61">
        <f t="shared" si="7"/>
        <v>30000</v>
      </c>
      <c r="M46" s="61">
        <f t="shared" si="7"/>
        <v>30000</v>
      </c>
      <c r="N46" s="61">
        <f t="shared" si="7"/>
        <v>30000</v>
      </c>
      <c r="O46" s="36"/>
    </row>
    <row r="47" spans="2:15" ht="6.9" customHeight="1" thickBot="1" x14ac:dyDescent="0.6">
      <c r="B47" s="32"/>
      <c r="C47" s="32"/>
      <c r="D47" s="32"/>
      <c r="E47" s="32"/>
      <c r="F47" s="32"/>
      <c r="G47" s="32"/>
      <c r="H47" s="32"/>
      <c r="I47" s="32"/>
      <c r="J47" s="32"/>
      <c r="K47" s="32"/>
      <c r="L47" s="32"/>
      <c r="M47" s="32"/>
      <c r="N47" s="32"/>
      <c r="O47" s="30"/>
    </row>
    <row r="48" spans="2:15" ht="16.2" x14ac:dyDescent="0.85">
      <c r="B48" s="37" t="s">
        <v>137</v>
      </c>
      <c r="C48" s="36"/>
      <c r="D48" s="36"/>
      <c r="E48" s="33"/>
      <c r="F48" s="33">
        <f>F45</f>
        <v>405</v>
      </c>
      <c r="G48" s="33">
        <f>F48+G45</f>
        <v>-8621.0500000000029</v>
      </c>
      <c r="H48" s="60">
        <f t="shared" ref="H48:N48" si="8">G48+H45</f>
        <v>-17351.75</v>
      </c>
      <c r="I48" s="60">
        <f t="shared" si="8"/>
        <v>60483</v>
      </c>
      <c r="J48" s="60">
        <f t="shared" si="8"/>
        <v>49245.65</v>
      </c>
      <c r="K48" s="60">
        <f t="shared" si="8"/>
        <v>36530.65</v>
      </c>
      <c r="L48" s="60">
        <f t="shared" si="8"/>
        <v>25664.75</v>
      </c>
      <c r="M48" s="60">
        <f t="shared" si="8"/>
        <v>13151.75</v>
      </c>
      <c r="N48" s="60">
        <f t="shared" si="8"/>
        <v>419.65000000000146</v>
      </c>
      <c r="O48" s="35"/>
    </row>
    <row r="49" spans="2:14" ht="14.7" thickBot="1" x14ac:dyDescent="0.6">
      <c r="B49" s="32"/>
      <c r="C49" s="32"/>
      <c r="D49" s="32"/>
      <c r="E49" s="33"/>
      <c r="F49" s="33"/>
      <c r="G49" s="33"/>
      <c r="H49" s="33"/>
      <c r="I49" s="33"/>
      <c r="J49" s="33"/>
      <c r="K49" s="33"/>
      <c r="L49" s="33"/>
      <c r="M49" s="33"/>
      <c r="N49" s="33"/>
    </row>
    <row r="50" spans="2:14" ht="18.600000000000001" thickBot="1" x14ac:dyDescent="0.6">
      <c r="B50" s="186" t="s">
        <v>110</v>
      </c>
      <c r="C50" s="186"/>
      <c r="D50" s="186"/>
      <c r="E50" s="186"/>
      <c r="F50" s="186"/>
      <c r="G50" s="186"/>
      <c r="H50" s="186"/>
      <c r="I50" s="186"/>
      <c r="J50" s="186"/>
      <c r="K50" s="186"/>
      <c r="L50" s="186"/>
      <c r="M50" s="186"/>
      <c r="N50" s="186"/>
    </row>
    <row r="51" spans="2:14" ht="14.7" thickBot="1" x14ac:dyDescent="0.6">
      <c r="B51" s="40"/>
      <c r="C51" s="41"/>
      <c r="D51" s="41"/>
      <c r="E51" s="41" t="s">
        <v>76</v>
      </c>
      <c r="F51" s="41" t="s">
        <v>77</v>
      </c>
      <c r="G51" s="41" t="s">
        <v>78</v>
      </c>
      <c r="H51" s="41" t="s">
        <v>79</v>
      </c>
      <c r="I51" s="41" t="s">
        <v>80</v>
      </c>
      <c r="J51" s="41" t="s">
        <v>81</v>
      </c>
      <c r="K51" s="41" t="s">
        <v>82</v>
      </c>
      <c r="L51" s="41" t="s">
        <v>83</v>
      </c>
      <c r="M51" s="41" t="s">
        <v>84</v>
      </c>
      <c r="N51" s="41" t="s">
        <v>85</v>
      </c>
    </row>
    <row r="52" spans="2:14" ht="24.9" customHeight="1" x14ac:dyDescent="0.55000000000000004">
      <c r="B52" s="33" t="s">
        <v>91</v>
      </c>
      <c r="C52" s="33"/>
      <c r="D52" s="33"/>
      <c r="E52" s="33">
        <v>0</v>
      </c>
      <c r="F52" s="33">
        <f t="shared" ref="F52:N52" si="9">IF(F48&gt;0,F48,0)</f>
        <v>405</v>
      </c>
      <c r="G52" s="60">
        <f t="shared" si="9"/>
        <v>0</v>
      </c>
      <c r="H52" s="60">
        <f t="shared" si="9"/>
        <v>0</v>
      </c>
      <c r="I52" s="60">
        <f t="shared" si="9"/>
        <v>60483</v>
      </c>
      <c r="J52" s="60">
        <f t="shared" si="9"/>
        <v>49245.65</v>
      </c>
      <c r="K52" s="60">
        <f t="shared" si="9"/>
        <v>36530.65</v>
      </c>
      <c r="L52" s="60">
        <f t="shared" si="9"/>
        <v>25664.75</v>
      </c>
      <c r="M52" s="60">
        <f t="shared" si="9"/>
        <v>13151.75</v>
      </c>
      <c r="N52" s="60">
        <f t="shared" si="9"/>
        <v>419.65000000000146</v>
      </c>
    </row>
    <row r="53" spans="2:14" x14ac:dyDescent="0.55000000000000004">
      <c r="B53" s="33" t="s">
        <v>92</v>
      </c>
      <c r="C53" s="33"/>
      <c r="D53" s="33"/>
      <c r="E53" s="33">
        <v>0</v>
      </c>
      <c r="F53" s="33">
        <f t="shared" ref="F53:N53" si="10">IF(F48&lt;0,-F48,0)</f>
        <v>0</v>
      </c>
      <c r="G53" s="60">
        <f t="shared" si="10"/>
        <v>8621.0500000000029</v>
      </c>
      <c r="H53" s="60">
        <f t="shared" si="10"/>
        <v>17351.75</v>
      </c>
      <c r="I53" s="60">
        <f t="shared" si="10"/>
        <v>0</v>
      </c>
      <c r="J53" s="60">
        <f t="shared" si="10"/>
        <v>0</v>
      </c>
      <c r="K53" s="60">
        <f t="shared" si="10"/>
        <v>0</v>
      </c>
      <c r="L53" s="60">
        <f t="shared" si="10"/>
        <v>0</v>
      </c>
      <c r="M53" s="60">
        <f t="shared" si="10"/>
        <v>0</v>
      </c>
      <c r="N53" s="60">
        <f t="shared" si="10"/>
        <v>0</v>
      </c>
    </row>
    <row r="54" spans="2:14" ht="5.4" customHeight="1" thickBot="1" x14ac:dyDescent="0.6">
      <c r="B54" s="32"/>
      <c r="C54" s="32"/>
      <c r="D54" s="32"/>
      <c r="E54" s="32"/>
      <c r="F54" s="32"/>
      <c r="G54" s="32"/>
      <c r="H54" s="32"/>
      <c r="I54" s="32"/>
      <c r="J54" s="32"/>
      <c r="K54" s="32"/>
      <c r="L54" s="32"/>
      <c r="M54" s="32"/>
      <c r="N54" s="32"/>
    </row>
    <row r="55" spans="2:14" ht="5.4" customHeight="1" thickBot="1" x14ac:dyDescent="0.6">
      <c r="B55" s="32"/>
      <c r="C55" s="32"/>
      <c r="D55" s="32"/>
      <c r="E55" s="32"/>
      <c r="F55" s="32"/>
      <c r="G55" s="32"/>
      <c r="H55" s="32"/>
      <c r="I55" s="32"/>
      <c r="J55" s="32"/>
      <c r="K55" s="32"/>
      <c r="L55" s="32"/>
      <c r="M55" s="32"/>
      <c r="N55" s="32"/>
    </row>
  </sheetData>
  <scenarios current="2" sqref="F43:N43">
    <scenario name="Good" locked="1" count="3" user="Del Hawley" comment="Created by Del on 9/22/2011_x000a_Modified by D Hawley on 9/22/2013_x000a_Modified by Del on 6/9/2014_x000a_Modified by Del Hawley on 2/16/2015_x000a_Modified by Del Hawley on 6/12/2016">
      <inputCells r="F22" val="0.5" numFmtId="9"/>
      <inputCells r="F23" val="0.3" numFmtId="9"/>
      <inputCells r="F24" val="0.2" numFmtId="9"/>
    </scenario>
    <scenario name="Normal" locked="1" count="3" user="Del Hawley" comment="Created by Del on 9/22/2011_x000a_Modified by Del on 6/9/2012_x000a_Modified by D Hawley on 9/22/2013_x000a_Modified by Del on 6/9/2014_x000a_Modified by Del Hawley on 2/16/2015_x000a_Modified by Del Hawley on 6/12/2016">
      <inputCells r="F22" val="0.4" numFmtId="9"/>
      <inputCells r="F23" val="0.25" numFmtId="9"/>
      <inputCells r="F24" val="0.35" numFmtId="9"/>
    </scenario>
    <scenario name="Bad" locked="1" count="3" user="Del Hawley" comment="Created by Del on 9/22/2011_x000a_Modified by D Hawley on 9/22/2013_x000a_Modified by Del on 6/9/2014_x000a_Modified by Del Hawley on 2/16/2015_x000a_Modified by Del Hawley on 6/12/2016">
      <inputCells r="F22" val="0.3" numFmtId="9"/>
      <inputCells r="F23" val="0.1" numFmtId="9"/>
      <inputCells r="F24" val="0.6"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election activeCell="K19" sqref="K19"/>
    </sheetView>
  </sheetViews>
  <sheetFormatPr defaultRowHeight="14.4" outlineLevelRow="1" outlineLevelCol="1" x14ac:dyDescent="0.55000000000000004"/>
  <cols>
    <col min="3" max="3" width="7.20703125" customWidth="1"/>
    <col min="4" max="7" width="11.62890625" bestFit="1" customWidth="1" outlineLevel="1"/>
  </cols>
  <sheetData>
    <row r="1" spans="2:7" ht="14.7" thickBot="1" x14ac:dyDescent="0.6"/>
    <row r="2" spans="2:7" ht="15.6" x14ac:dyDescent="0.6">
      <c r="B2" s="199" t="s">
        <v>153</v>
      </c>
      <c r="C2" s="199"/>
      <c r="D2" s="70"/>
      <c r="E2" s="70"/>
      <c r="F2" s="70"/>
      <c r="G2" s="70"/>
    </row>
    <row r="3" spans="2:7" ht="15.6" collapsed="1" x14ac:dyDescent="0.6">
      <c r="B3" s="198"/>
      <c r="C3" s="198"/>
      <c r="D3" s="71" t="s">
        <v>155</v>
      </c>
      <c r="E3" s="71" t="s">
        <v>150</v>
      </c>
      <c r="F3" s="71" t="s">
        <v>151</v>
      </c>
      <c r="G3" s="71" t="s">
        <v>152</v>
      </c>
    </row>
    <row r="4" spans="2:7" ht="157.5" hidden="1" outlineLevel="1" x14ac:dyDescent="0.55000000000000004">
      <c r="B4" s="200"/>
      <c r="C4" s="200"/>
      <c r="D4" s="65"/>
      <c r="E4" s="73" t="s">
        <v>211</v>
      </c>
      <c r="F4" s="73" t="s">
        <v>212</v>
      </c>
      <c r="G4" s="73" t="s">
        <v>211</v>
      </c>
    </row>
    <row r="5" spans="2:7" x14ac:dyDescent="0.55000000000000004">
      <c r="B5" s="201" t="s">
        <v>154</v>
      </c>
      <c r="C5" s="201"/>
      <c r="D5" s="69"/>
      <c r="E5" s="69"/>
      <c r="F5" s="69"/>
      <c r="G5" s="69"/>
    </row>
    <row r="6" spans="2:7" outlineLevel="1" x14ac:dyDescent="0.55000000000000004">
      <c r="B6" s="200"/>
      <c r="C6" s="200" t="s">
        <v>138</v>
      </c>
      <c r="D6" s="66">
        <v>0.4</v>
      </c>
      <c r="E6" s="72">
        <v>0.5</v>
      </c>
      <c r="F6" s="72">
        <v>0.4</v>
      </c>
      <c r="G6" s="72">
        <v>0.3</v>
      </c>
    </row>
    <row r="7" spans="2:7" outlineLevel="1" x14ac:dyDescent="0.55000000000000004">
      <c r="B7" s="200"/>
      <c r="C7" s="200" t="s">
        <v>139</v>
      </c>
      <c r="D7" s="66">
        <v>0.25</v>
      </c>
      <c r="E7" s="72">
        <v>0.3</v>
      </c>
      <c r="F7" s="72">
        <v>0.25</v>
      </c>
      <c r="G7" s="72">
        <v>0.1</v>
      </c>
    </row>
    <row r="8" spans="2:7" outlineLevel="1" x14ac:dyDescent="0.55000000000000004">
      <c r="B8" s="200"/>
      <c r="C8" s="200" t="s">
        <v>140</v>
      </c>
      <c r="D8" s="66">
        <v>0.35</v>
      </c>
      <c r="E8" s="72">
        <v>0.2</v>
      </c>
      <c r="F8" s="72">
        <v>0.35</v>
      </c>
      <c r="G8" s="72">
        <v>0.6</v>
      </c>
    </row>
    <row r="9" spans="2:7" x14ac:dyDescent="0.55000000000000004">
      <c r="B9" s="201" t="s">
        <v>156</v>
      </c>
      <c r="C9" s="201"/>
      <c r="D9" s="69"/>
      <c r="E9" s="69"/>
      <c r="F9" s="69"/>
      <c r="G9" s="69"/>
    </row>
    <row r="10" spans="2:7" outlineLevel="1" x14ac:dyDescent="0.55000000000000004">
      <c r="B10" s="200"/>
      <c r="C10" s="200" t="s">
        <v>141</v>
      </c>
      <c r="D10" s="67">
        <v>7095</v>
      </c>
      <c r="E10" s="67">
        <v>7067.5</v>
      </c>
      <c r="F10" s="67">
        <v>7095</v>
      </c>
      <c r="G10" s="67">
        <v>7062.5</v>
      </c>
    </row>
    <row r="11" spans="2:7" outlineLevel="1" x14ac:dyDescent="0.55000000000000004">
      <c r="B11" s="200"/>
      <c r="C11" s="200" t="s">
        <v>142</v>
      </c>
      <c r="D11" s="67">
        <v>9026.0499999999993</v>
      </c>
      <c r="E11" s="67">
        <v>8778.7999999999993</v>
      </c>
      <c r="F11" s="67">
        <v>9026.0499999999993</v>
      </c>
      <c r="G11" s="67">
        <v>9390.7999999999993</v>
      </c>
    </row>
    <row r="12" spans="2:7" outlineLevel="1" x14ac:dyDescent="0.55000000000000004">
      <c r="B12" s="200"/>
      <c r="C12" s="200" t="s">
        <v>143</v>
      </c>
      <c r="D12" s="67">
        <v>8730.7000000000007</v>
      </c>
      <c r="E12" s="67">
        <v>8868.7000000000007</v>
      </c>
      <c r="F12" s="67">
        <v>8730.7000000000007</v>
      </c>
      <c r="G12" s="67">
        <v>8663.7000000000007</v>
      </c>
    </row>
    <row r="13" spans="2:7" outlineLevel="1" x14ac:dyDescent="0.55000000000000004">
      <c r="B13" s="200"/>
      <c r="C13" s="200" t="s">
        <v>144</v>
      </c>
      <c r="D13" s="67">
        <v>-77834.75</v>
      </c>
      <c r="E13" s="67">
        <v>-77216.5</v>
      </c>
      <c r="F13" s="67">
        <v>-77834.75</v>
      </c>
      <c r="G13" s="67">
        <v>-78697.5</v>
      </c>
    </row>
    <row r="14" spans="2:7" outlineLevel="1" x14ac:dyDescent="0.55000000000000004">
      <c r="B14" s="200"/>
      <c r="C14" s="200" t="s">
        <v>145</v>
      </c>
      <c r="D14" s="67">
        <v>11237.35</v>
      </c>
      <c r="E14" s="67">
        <v>11912.6</v>
      </c>
      <c r="F14" s="67">
        <v>11237.35</v>
      </c>
      <c r="G14" s="67">
        <v>10310.6</v>
      </c>
    </row>
    <row r="15" spans="2:7" outlineLevel="1" x14ac:dyDescent="0.55000000000000004">
      <c r="B15" s="200"/>
      <c r="C15" s="200" t="s">
        <v>146</v>
      </c>
      <c r="D15" s="67">
        <v>12715</v>
      </c>
      <c r="E15" s="67">
        <v>13039</v>
      </c>
      <c r="F15" s="67">
        <v>12715</v>
      </c>
      <c r="G15" s="67">
        <v>12093</v>
      </c>
    </row>
    <row r="16" spans="2:7" outlineLevel="1" x14ac:dyDescent="0.55000000000000004">
      <c r="B16" s="200"/>
      <c r="C16" s="200" t="s">
        <v>147</v>
      </c>
      <c r="D16" s="67">
        <v>10865.9</v>
      </c>
      <c r="E16" s="67">
        <v>10423.4</v>
      </c>
      <c r="F16" s="67">
        <v>10865.9</v>
      </c>
      <c r="G16" s="67">
        <v>11431.4</v>
      </c>
    </row>
    <row r="17" spans="2:7" outlineLevel="1" x14ac:dyDescent="0.55000000000000004">
      <c r="B17" s="200"/>
      <c r="C17" s="200" t="s">
        <v>148</v>
      </c>
      <c r="D17" s="67">
        <v>12513</v>
      </c>
      <c r="E17" s="67">
        <v>12499</v>
      </c>
      <c r="F17" s="67">
        <v>12513</v>
      </c>
      <c r="G17" s="67">
        <v>12785</v>
      </c>
    </row>
    <row r="18" spans="2:7" ht="14.7" outlineLevel="1" thickBot="1" x14ac:dyDescent="0.6">
      <c r="B18" s="202"/>
      <c r="C18" s="202" t="s">
        <v>149</v>
      </c>
      <c r="D18" s="68">
        <v>12732.1</v>
      </c>
      <c r="E18" s="68">
        <v>13449.6</v>
      </c>
      <c r="F18" s="68">
        <v>12732.1</v>
      </c>
      <c r="G18" s="68">
        <v>11641.6</v>
      </c>
    </row>
    <row r="19" spans="2:7" x14ac:dyDescent="0.55000000000000004">
      <c r="B19" t="s">
        <v>157</v>
      </c>
    </row>
    <row r="20" spans="2:7" x14ac:dyDescent="0.55000000000000004">
      <c r="B20" t="s">
        <v>158</v>
      </c>
    </row>
    <row r="21" spans="2:7" x14ac:dyDescent="0.55000000000000004">
      <c r="B21"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topLeftCell="A10" workbookViewId="0">
      <selection activeCell="N25" sqref="N25"/>
    </sheetView>
  </sheetViews>
  <sheetFormatPr defaultRowHeight="14.4" x14ac:dyDescent="0.55000000000000004"/>
  <cols>
    <col min="10" max="10" width="17.3125" customWidth="1"/>
  </cols>
  <sheetData>
    <row r="5" spans="10:19" x14ac:dyDescent="0.55000000000000004">
      <c r="K5" t="s">
        <v>160</v>
      </c>
      <c r="L5" t="s">
        <v>161</v>
      </c>
      <c r="M5" s="62" t="s">
        <v>162</v>
      </c>
      <c r="N5" s="62" t="s">
        <v>163</v>
      </c>
      <c r="O5" s="62" t="s">
        <v>164</v>
      </c>
      <c r="P5" s="62" t="s">
        <v>165</v>
      </c>
      <c r="Q5" s="62" t="s">
        <v>166</v>
      </c>
      <c r="R5" s="62" t="s">
        <v>167</v>
      </c>
      <c r="S5" s="62" t="s">
        <v>168</v>
      </c>
    </row>
    <row r="6" spans="10:19" x14ac:dyDescent="0.55000000000000004">
      <c r="J6" t="s">
        <v>170</v>
      </c>
      <c r="K6" s="60">
        <f>-'Prob 2 - 25 Pts '!F52</f>
        <v>-405</v>
      </c>
      <c r="L6" s="60">
        <f>-'Prob 2 - 25 Pts '!G52</f>
        <v>0</v>
      </c>
      <c r="M6" s="60">
        <f>-'Prob 2 - 25 Pts '!H52</f>
        <v>0</v>
      </c>
      <c r="N6" s="60">
        <f>-'Prob 2 - 25 Pts '!I52</f>
        <v>-60483</v>
      </c>
      <c r="O6" s="60">
        <f>-'Prob 2 - 25 Pts '!J52</f>
        <v>-49245.65</v>
      </c>
      <c r="P6" s="60">
        <f>-'Prob 2 - 25 Pts '!K52</f>
        <v>-36530.65</v>
      </c>
      <c r="Q6" s="60">
        <f>-'Prob 2 - 25 Pts '!L52</f>
        <v>-25664.75</v>
      </c>
      <c r="R6" s="60">
        <f>-'Prob 2 - 25 Pts '!M52</f>
        <v>-13151.75</v>
      </c>
      <c r="S6" s="60">
        <f>-'Prob 2 - 25 Pts '!N52</f>
        <v>-419.65000000000146</v>
      </c>
    </row>
    <row r="7" spans="10:19" x14ac:dyDescent="0.55000000000000004">
      <c r="J7" t="s">
        <v>169</v>
      </c>
      <c r="K7" s="60">
        <f>'Prob 2 - 25 Pts '!F53</f>
        <v>0</v>
      </c>
      <c r="L7" s="60">
        <f>'Prob 2 - 25 Pts '!G53</f>
        <v>8621.0500000000029</v>
      </c>
      <c r="M7" s="60">
        <f>'Prob 2 - 25 Pts '!H53</f>
        <v>17351.75</v>
      </c>
      <c r="N7" s="60">
        <f>'Prob 2 - 25 Pts '!I53</f>
        <v>0</v>
      </c>
      <c r="O7" s="60">
        <f>'Prob 2 - 25 Pts '!J53</f>
        <v>0</v>
      </c>
      <c r="P7" s="60">
        <f>'Prob 2 - 25 Pts '!K53</f>
        <v>0</v>
      </c>
      <c r="Q7" s="60">
        <f>'Prob 2 - 25 Pts '!L53</f>
        <v>0</v>
      </c>
      <c r="R7" s="60">
        <f>'Prob 2 - 25 Pts '!M53</f>
        <v>0</v>
      </c>
      <c r="S7" s="60">
        <f>'Prob 2 - 25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9"/>
  <sheetViews>
    <sheetView workbookViewId="0"/>
  </sheetViews>
  <sheetFormatPr defaultColWidth="9.1015625" defaultRowHeight="14.4" x14ac:dyDescent="0.55000000000000004"/>
  <cols>
    <col min="1" max="1" width="9.1015625" style="10"/>
    <col min="2" max="3" width="11.5234375" style="10" customWidth="1"/>
    <col min="4" max="4" width="13.68359375" style="10" customWidth="1"/>
    <col min="5" max="5" width="14.3125" style="10" customWidth="1"/>
    <col min="6" max="16384" width="9.1015625" style="10"/>
  </cols>
  <sheetData>
    <row r="3" spans="2:5" ht="86.25" customHeight="1" x14ac:dyDescent="0.55000000000000004"/>
    <row r="5" spans="2:5" ht="14.7" thickBot="1" x14ac:dyDescent="0.6"/>
    <row r="6" spans="2:5" ht="52.5" customHeight="1" thickBot="1" x14ac:dyDescent="0.6">
      <c r="B6" s="115" t="s">
        <v>178</v>
      </c>
      <c r="C6" s="116" t="s">
        <v>184</v>
      </c>
      <c r="D6" s="116" t="s">
        <v>179</v>
      </c>
      <c r="E6" s="117" t="s">
        <v>180</v>
      </c>
    </row>
    <row r="7" spans="2:5" x14ac:dyDescent="0.55000000000000004">
      <c r="B7" s="112">
        <v>2000</v>
      </c>
      <c r="C7" s="113">
        <v>9.44</v>
      </c>
      <c r="D7" s="114"/>
      <c r="E7" s="114"/>
    </row>
    <row r="8" spans="2:5" x14ac:dyDescent="0.55000000000000004">
      <c r="B8" s="108">
        <v>2001</v>
      </c>
      <c r="C8" s="106">
        <v>9.85</v>
      </c>
      <c r="D8" s="107">
        <f>C8/C7-1</f>
        <v>4.3432203389830448E-2</v>
      </c>
      <c r="E8" s="109">
        <f>1+D8</f>
        <v>1.0434322033898304</v>
      </c>
    </row>
    <row r="9" spans="2:5" x14ac:dyDescent="0.55000000000000004">
      <c r="B9" s="108">
        <v>2002</v>
      </c>
      <c r="C9" s="106">
        <v>10.25</v>
      </c>
      <c r="D9" s="107">
        <f t="shared" ref="D9:D19" si="0">C9/C8-1</f>
        <v>4.0609137055837685E-2</v>
      </c>
      <c r="E9" s="109">
        <f t="shared" ref="E9:E19" si="1">1+D9</f>
        <v>1.0406091370558377</v>
      </c>
    </row>
    <row r="10" spans="2:5" x14ac:dyDescent="0.55000000000000004">
      <c r="B10" s="108">
        <v>2003</v>
      </c>
      <c r="C10" s="106">
        <v>8.5</v>
      </c>
      <c r="D10" s="107">
        <f t="shared" si="0"/>
        <v>-0.17073170731707321</v>
      </c>
      <c r="E10" s="109">
        <f t="shared" si="1"/>
        <v>0.82926829268292679</v>
      </c>
    </row>
    <row r="11" spans="2:5" x14ac:dyDescent="0.55000000000000004">
      <c r="B11" s="108">
        <v>2004</v>
      </c>
      <c r="C11" s="106">
        <v>9.65</v>
      </c>
      <c r="D11" s="107">
        <f t="shared" si="0"/>
        <v>0.13529411764705879</v>
      </c>
      <c r="E11" s="109">
        <f t="shared" si="1"/>
        <v>1.1352941176470588</v>
      </c>
    </row>
    <row r="12" spans="2:5" x14ac:dyDescent="0.55000000000000004">
      <c r="B12" s="108">
        <v>2005</v>
      </c>
      <c r="C12" s="106">
        <v>10.25</v>
      </c>
      <c r="D12" s="107">
        <f t="shared" si="0"/>
        <v>6.2176165803108807E-2</v>
      </c>
      <c r="E12" s="109">
        <f t="shared" si="1"/>
        <v>1.0621761658031088</v>
      </c>
    </row>
    <row r="13" spans="2:5" x14ac:dyDescent="0.55000000000000004">
      <c r="B13" s="108">
        <v>2006</v>
      </c>
      <c r="C13" s="106">
        <v>11</v>
      </c>
      <c r="D13" s="107">
        <f t="shared" si="0"/>
        <v>7.3170731707317138E-2</v>
      </c>
      <c r="E13" s="109">
        <f t="shared" si="1"/>
        <v>1.0731707317073171</v>
      </c>
    </row>
    <row r="14" spans="2:5" x14ac:dyDescent="0.55000000000000004">
      <c r="B14" s="108">
        <v>2007</v>
      </c>
      <c r="C14" s="106">
        <v>11.75</v>
      </c>
      <c r="D14" s="107">
        <f t="shared" si="0"/>
        <v>6.8181818181818121E-2</v>
      </c>
      <c r="E14" s="109">
        <f t="shared" si="1"/>
        <v>1.0681818181818181</v>
      </c>
    </row>
    <row r="15" spans="2:5" x14ac:dyDescent="0.55000000000000004">
      <c r="B15" s="108">
        <v>2008</v>
      </c>
      <c r="C15" s="106">
        <v>10</v>
      </c>
      <c r="D15" s="107">
        <f t="shared" si="0"/>
        <v>-0.14893617021276595</v>
      </c>
      <c r="E15" s="109">
        <f t="shared" si="1"/>
        <v>0.85106382978723405</v>
      </c>
    </row>
    <row r="16" spans="2:5" x14ac:dyDescent="0.55000000000000004">
      <c r="B16" s="108">
        <v>2009</v>
      </c>
      <c r="C16" s="106">
        <v>6.5</v>
      </c>
      <c r="D16" s="107">
        <f t="shared" si="0"/>
        <v>-0.35</v>
      </c>
      <c r="E16" s="109">
        <f t="shared" si="1"/>
        <v>0.65</v>
      </c>
    </row>
    <row r="17" spans="2:5" x14ac:dyDescent="0.55000000000000004">
      <c r="B17" s="108">
        <v>2010</v>
      </c>
      <c r="C17" s="106">
        <v>6.9</v>
      </c>
      <c r="D17" s="107">
        <f t="shared" si="0"/>
        <v>6.1538461538461542E-2</v>
      </c>
      <c r="E17" s="109">
        <f t="shared" si="1"/>
        <v>1.0615384615384615</v>
      </c>
    </row>
    <row r="18" spans="2:5" x14ac:dyDescent="0.55000000000000004">
      <c r="B18" s="108">
        <v>2011</v>
      </c>
      <c r="C18" s="106">
        <v>7.85</v>
      </c>
      <c r="D18" s="107">
        <f t="shared" si="0"/>
        <v>0.1376811594202898</v>
      </c>
      <c r="E18" s="109">
        <f t="shared" si="1"/>
        <v>1.1376811594202898</v>
      </c>
    </row>
    <row r="19" spans="2:5" x14ac:dyDescent="0.55000000000000004">
      <c r="B19" s="108">
        <v>2012</v>
      </c>
      <c r="C19" s="106">
        <v>8.6199999999999992</v>
      </c>
      <c r="D19" s="107">
        <f t="shared" si="0"/>
        <v>9.8089171974522271E-2</v>
      </c>
      <c r="E19" s="109">
        <f t="shared" si="1"/>
        <v>1.0980891719745223</v>
      </c>
    </row>
    <row r="20" spans="2:5" s="165" customFormat="1" x14ac:dyDescent="0.55000000000000004">
      <c r="B20" s="173">
        <v>2013</v>
      </c>
      <c r="C20" s="174">
        <v>9.77</v>
      </c>
      <c r="D20" s="107">
        <f t="shared" ref="D20" si="2">C20/C19-1</f>
        <v>0.13341067285382846</v>
      </c>
      <c r="E20" s="109">
        <f t="shared" ref="E20:E22" si="3">1+D20</f>
        <v>1.1334106728538285</v>
      </c>
    </row>
    <row r="21" spans="2:5" s="165" customFormat="1" x14ac:dyDescent="0.55000000000000004">
      <c r="B21" s="173">
        <v>2014</v>
      </c>
      <c r="C21" s="174">
        <v>10.9</v>
      </c>
      <c r="D21" s="107">
        <f t="shared" ref="D21:D22" si="4">C21/C20-1</f>
        <v>0.11566018423746161</v>
      </c>
      <c r="E21" s="109">
        <f t="shared" ref="E21:E22" si="5">1+D21</f>
        <v>1.1156601842374616</v>
      </c>
    </row>
    <row r="22" spans="2:5" ht="14.7" thickBot="1" x14ac:dyDescent="0.6">
      <c r="B22" s="110">
        <v>2015</v>
      </c>
      <c r="C22" s="111">
        <v>11.85</v>
      </c>
      <c r="D22" s="107">
        <f t="shared" si="4"/>
        <v>8.7155963302752326E-2</v>
      </c>
      <c r="E22" s="109">
        <f t="shared" si="5"/>
        <v>1.0871559633027523</v>
      </c>
    </row>
    <row r="23" spans="2:5" x14ac:dyDescent="0.55000000000000004">
      <c r="B23" s="118"/>
      <c r="C23" s="119"/>
      <c r="D23" s="119"/>
      <c r="E23" s="120"/>
    </row>
    <row r="24" spans="2:5" x14ac:dyDescent="0.55000000000000004">
      <c r="B24" s="127" t="s">
        <v>181</v>
      </c>
      <c r="C24" s="121"/>
      <c r="D24" s="121"/>
      <c r="E24" s="122"/>
    </row>
    <row r="25" spans="2:5" ht="14.7" thickBot="1" x14ac:dyDescent="0.6">
      <c r="B25" s="123"/>
      <c r="C25" s="187"/>
      <c r="D25" s="187"/>
      <c r="E25" s="122"/>
    </row>
    <row r="26" spans="2:5" ht="14.7" thickBot="1" x14ac:dyDescent="0.6">
      <c r="B26" s="123"/>
      <c r="C26" s="128">
        <f>GEOMEAN(E8:E22)-1</f>
        <v>1.5273592901327016E-2</v>
      </c>
      <c r="D26" s="121" t="s">
        <v>182</v>
      </c>
      <c r="E26" s="122"/>
    </row>
    <row r="27" spans="2:5" ht="14.7" thickBot="1" x14ac:dyDescent="0.6">
      <c r="B27" s="123"/>
      <c r="C27" s="129"/>
      <c r="D27" s="121"/>
      <c r="E27" s="122"/>
    </row>
    <row r="28" spans="2:5" ht="14.7" thickBot="1" x14ac:dyDescent="0.6">
      <c r="B28" s="123"/>
      <c r="C28" s="128">
        <f>(PRODUCT(E8:E22)^(1/15))-1</f>
        <v>1.5273592901327016E-2</v>
      </c>
      <c r="D28" s="121" t="s">
        <v>183</v>
      </c>
      <c r="E28" s="122"/>
    </row>
    <row r="29" spans="2:5" ht="14.7" thickBot="1" x14ac:dyDescent="0.6">
      <c r="B29" s="124"/>
      <c r="C29" s="125"/>
      <c r="D29" s="125"/>
      <c r="E29" s="126"/>
    </row>
  </sheetData>
  <mergeCells count="1">
    <mergeCell ref="C25:D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topLeftCell="C9" zoomScaleNormal="100" workbookViewId="0">
      <selection activeCell="D32" sqref="D32"/>
    </sheetView>
  </sheetViews>
  <sheetFormatPr defaultColWidth="9.1015625" defaultRowHeight="14.4" x14ac:dyDescent="0.55000000000000004"/>
  <cols>
    <col min="1" max="1" width="4.5234375" style="130" customWidth="1"/>
    <col min="2" max="2" width="35.68359375" style="130" customWidth="1"/>
    <col min="3" max="4" width="18.68359375" style="130" customWidth="1"/>
    <col min="5" max="16384" width="9.1015625" style="130"/>
  </cols>
  <sheetData>
    <row r="1" spans="2:4" ht="48" customHeight="1" x14ac:dyDescent="0.55000000000000004"/>
    <row r="10" spans="2:4" ht="14.7" thickBot="1" x14ac:dyDescent="0.6"/>
    <row r="11" spans="2:4" s="131" customFormat="1" ht="30" customHeight="1" x14ac:dyDescent="0.55000000000000004">
      <c r="B11" s="188" t="s">
        <v>171</v>
      </c>
      <c r="C11" s="189"/>
      <c r="D11" s="190"/>
    </row>
    <row r="12" spans="2:4" s="131" customFormat="1" ht="30" customHeight="1" x14ac:dyDescent="0.55000000000000004">
      <c r="B12" s="191" t="s">
        <v>172</v>
      </c>
      <c r="C12" s="192"/>
      <c r="D12" s="193"/>
    </row>
    <row r="13" spans="2:4" s="131" customFormat="1" ht="30" customHeight="1" thickBot="1" x14ac:dyDescent="0.6">
      <c r="B13" s="194" t="s">
        <v>213</v>
      </c>
      <c r="C13" s="195"/>
      <c r="D13" s="196"/>
    </row>
    <row r="14" spans="2:4" ht="50.1" customHeight="1" thickBot="1" x14ac:dyDescent="0.75">
      <c r="B14" s="132"/>
      <c r="C14" s="156" t="s">
        <v>214</v>
      </c>
      <c r="D14" s="157" t="s">
        <v>215</v>
      </c>
    </row>
    <row r="15" spans="2:4" ht="17.25" customHeight="1" x14ac:dyDescent="0.55000000000000004">
      <c r="B15" s="133" t="s">
        <v>12</v>
      </c>
      <c r="C15" s="143">
        <v>3850000</v>
      </c>
      <c r="D15" s="134">
        <v>3432000</v>
      </c>
    </row>
    <row r="16" spans="2:4" ht="16.2" x14ac:dyDescent="0.85">
      <c r="B16" s="135" t="s">
        <v>173</v>
      </c>
      <c r="C16" s="76">
        <v>3250000</v>
      </c>
      <c r="D16" s="77">
        <v>2864000</v>
      </c>
    </row>
    <row r="17" spans="2:7" x14ac:dyDescent="0.55000000000000004">
      <c r="B17" s="136" t="s">
        <v>14</v>
      </c>
      <c r="C17" s="144">
        <v>600000</v>
      </c>
      <c r="D17" s="137">
        <v>568000</v>
      </c>
    </row>
    <row r="18" spans="2:7" x14ac:dyDescent="0.55000000000000004">
      <c r="B18" s="138" t="s">
        <v>2</v>
      </c>
      <c r="C18" s="75">
        <v>330300</v>
      </c>
      <c r="D18" s="74">
        <v>240000</v>
      </c>
    </row>
    <row r="19" spans="2:7" x14ac:dyDescent="0.55000000000000004">
      <c r="B19" s="138" t="s">
        <v>3</v>
      </c>
      <c r="C19" s="75">
        <v>100000</v>
      </c>
      <c r="D19" s="74">
        <v>100000</v>
      </c>
    </row>
    <row r="20" spans="2:7" ht="19.5" customHeight="1" x14ac:dyDescent="0.85">
      <c r="B20" s="135" t="s">
        <v>46</v>
      </c>
      <c r="C20" s="76">
        <v>20000</v>
      </c>
      <c r="D20" s="77">
        <v>18900</v>
      </c>
    </row>
    <row r="21" spans="2:7" x14ac:dyDescent="0.55000000000000004">
      <c r="B21" s="136" t="s">
        <v>15</v>
      </c>
      <c r="C21" s="144">
        <v>149700</v>
      </c>
      <c r="D21" s="137">
        <v>209100</v>
      </c>
    </row>
    <row r="22" spans="2:7" ht="16.2" x14ac:dyDescent="0.85">
      <c r="B22" s="135" t="s">
        <v>5</v>
      </c>
      <c r="C22" s="76">
        <v>76000</v>
      </c>
      <c r="D22" s="77">
        <v>62500</v>
      </c>
    </row>
    <row r="23" spans="2:7" x14ac:dyDescent="0.55000000000000004">
      <c r="B23" s="136" t="s">
        <v>16</v>
      </c>
      <c r="C23" s="144">
        <v>73700</v>
      </c>
      <c r="D23" s="137">
        <v>146600</v>
      </c>
      <c r="F23" s="60"/>
      <c r="G23" s="60"/>
    </row>
    <row r="24" spans="2:7" ht="16.2" x14ac:dyDescent="0.85">
      <c r="B24" s="135" t="s">
        <v>17</v>
      </c>
      <c r="C24" s="76">
        <v>29480</v>
      </c>
      <c r="D24" s="77">
        <v>58640</v>
      </c>
    </row>
    <row r="25" spans="2:7" ht="16.2" x14ac:dyDescent="0.85">
      <c r="B25" s="139" t="s">
        <v>18</v>
      </c>
      <c r="C25" s="145">
        <v>44220</v>
      </c>
      <c r="D25" s="140">
        <v>87960</v>
      </c>
    </row>
    <row r="26" spans="2:7" ht="6" customHeight="1" thickBot="1" x14ac:dyDescent="0.6">
      <c r="B26" s="141"/>
      <c r="C26" s="146"/>
      <c r="D26" s="142"/>
    </row>
    <row r="27" spans="2:7" ht="30" customHeight="1" thickBot="1" x14ac:dyDescent="0.6">
      <c r="B27" s="149" t="s">
        <v>185</v>
      </c>
      <c r="C27" s="147">
        <f>C17/C15</f>
        <v>0.15584415584415584</v>
      </c>
      <c r="D27" s="148">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topLeftCell="A46" zoomScale="115" zoomScaleNormal="115" workbookViewId="0">
      <selection activeCell="J9" sqref="J9"/>
    </sheetView>
  </sheetViews>
  <sheetFormatPr defaultRowHeight="14.4" x14ac:dyDescent="0.55000000000000004"/>
  <cols>
    <col min="1" max="2" width="3.89453125" customWidth="1"/>
    <col min="3" max="3" width="10.41796875" customWidth="1"/>
    <col min="4" max="4" width="2.89453125" customWidth="1"/>
    <col min="5" max="5" width="2.68359375" customWidth="1"/>
    <col min="6" max="6" width="6" style="91" customWidth="1"/>
  </cols>
  <sheetData>
    <row r="1" spans="2:17" s="98" customFormat="1" x14ac:dyDescent="0.55000000000000004">
      <c r="F1" s="91"/>
    </row>
    <row r="2" spans="2:17" s="98" customFormat="1" ht="139.5" customHeight="1" x14ac:dyDescent="0.55000000000000004">
      <c r="F2" s="91"/>
    </row>
    <row r="3" spans="2:17" ht="14.7" thickBot="1" x14ac:dyDescent="0.6">
      <c r="B3" s="1"/>
      <c r="C3" s="151"/>
      <c r="D3" s="1"/>
      <c r="E3" s="1"/>
      <c r="F3" s="152"/>
      <c r="G3" s="1"/>
      <c r="H3" s="1"/>
      <c r="I3" s="1"/>
      <c r="J3" s="1"/>
      <c r="K3" s="1"/>
      <c r="L3" s="1"/>
      <c r="M3" s="1"/>
      <c r="N3" s="1"/>
      <c r="O3" s="1"/>
      <c r="P3" s="1"/>
      <c r="Q3" s="1"/>
    </row>
    <row r="4" spans="2:17" ht="103.2" customHeight="1" thickBot="1" x14ac:dyDescent="0.6">
      <c r="B4" s="153"/>
      <c r="C4" s="154" t="s">
        <v>123</v>
      </c>
      <c r="D4" s="203" t="s">
        <v>216</v>
      </c>
      <c r="E4" s="203"/>
      <c r="F4" s="203"/>
      <c r="G4" s="203"/>
      <c r="H4" s="203"/>
      <c r="I4" s="203"/>
      <c r="J4" s="203"/>
      <c r="K4" s="203"/>
      <c r="L4" s="203"/>
      <c r="M4" s="203"/>
      <c r="N4" s="203"/>
      <c r="O4" s="153"/>
      <c r="P4" s="153"/>
      <c r="Q4" s="153"/>
    </row>
    <row r="5" spans="2:17" ht="14.7" thickBot="1" x14ac:dyDescent="0.6">
      <c r="C5" s="92"/>
      <c r="D5" s="92"/>
    </row>
    <row r="6" spans="2:17" ht="14.7" thickBot="1" x14ac:dyDescent="0.6">
      <c r="C6" s="97" t="s">
        <v>221</v>
      </c>
      <c r="D6" s="94" t="s">
        <v>194</v>
      </c>
    </row>
    <row r="7" spans="2:17" ht="8.4" customHeight="1" x14ac:dyDescent="0.55000000000000004">
      <c r="C7" s="96"/>
      <c r="D7" s="94"/>
    </row>
    <row r="8" spans="2:17" s="98" customFormat="1" ht="14.25" customHeight="1" x14ac:dyDescent="0.55000000000000004">
      <c r="C8" s="96"/>
      <c r="D8" s="93" t="s">
        <v>187</v>
      </c>
      <c r="F8" s="91"/>
    </row>
    <row r="9" spans="2:17" x14ac:dyDescent="0.55000000000000004">
      <c r="C9" s="96"/>
      <c r="D9" s="93" t="s">
        <v>218</v>
      </c>
    </row>
    <row r="10" spans="2:17" x14ac:dyDescent="0.55000000000000004">
      <c r="C10" s="96"/>
      <c r="D10" s="93" t="s">
        <v>219</v>
      </c>
    </row>
    <row r="11" spans="2:17" s="164" customFormat="1" x14ac:dyDescent="0.55000000000000004">
      <c r="C11" s="96"/>
      <c r="D11" s="93" t="s">
        <v>220</v>
      </c>
      <c r="F11" s="171"/>
    </row>
    <row r="12" spans="2:17" x14ac:dyDescent="0.55000000000000004">
      <c r="C12" s="96"/>
      <c r="D12" s="93" t="s">
        <v>122</v>
      </c>
    </row>
    <row r="13" spans="2:17" ht="14.7" thickBot="1" x14ac:dyDescent="0.6">
      <c r="C13" s="96"/>
      <c r="D13" s="92"/>
    </row>
    <row r="14" spans="2:17" ht="14.7" thickBot="1" x14ac:dyDescent="0.6">
      <c r="C14" s="97" t="s">
        <v>226</v>
      </c>
      <c r="D14" s="94" t="s">
        <v>222</v>
      </c>
    </row>
    <row r="15" spans="2:17" ht="9.6" customHeight="1" x14ac:dyDescent="0.55000000000000004">
      <c r="C15" s="92"/>
      <c r="D15" s="94"/>
    </row>
    <row r="16" spans="2:17" x14ac:dyDescent="0.55000000000000004">
      <c r="C16" s="92"/>
      <c r="D16" s="93" t="s">
        <v>223</v>
      </c>
      <c r="L16" t="s">
        <v>217</v>
      </c>
    </row>
    <row r="17" spans="1:17" x14ac:dyDescent="0.55000000000000004">
      <c r="C17" s="92"/>
      <c r="D17" s="93" t="s">
        <v>192</v>
      </c>
    </row>
    <row r="18" spans="1:17" x14ac:dyDescent="0.55000000000000004">
      <c r="C18" s="92"/>
      <c r="D18" s="93" t="s">
        <v>195</v>
      </c>
    </row>
    <row r="19" spans="1:17" x14ac:dyDescent="0.55000000000000004">
      <c r="C19" s="92"/>
      <c r="D19" s="93" t="s">
        <v>224</v>
      </c>
      <c r="E19" s="92"/>
    </row>
    <row r="20" spans="1:17" x14ac:dyDescent="0.55000000000000004">
      <c r="C20" s="92"/>
      <c r="D20" s="93" t="s">
        <v>225</v>
      </c>
      <c r="E20" s="92"/>
    </row>
    <row r="21" spans="1:17" ht="14.7" thickBot="1" x14ac:dyDescent="0.6">
      <c r="C21" s="92"/>
      <c r="D21" s="93"/>
      <c r="E21" s="92"/>
    </row>
    <row r="22" spans="1:17" ht="14.7" thickBot="1" x14ac:dyDescent="0.6">
      <c r="C22" s="97" t="s">
        <v>196</v>
      </c>
      <c r="D22" s="175" t="s">
        <v>198</v>
      </c>
      <c r="E22" s="164"/>
      <c r="F22" s="171"/>
      <c r="G22" s="164"/>
    </row>
    <row r="23" spans="1:17" ht="9" customHeight="1" x14ac:dyDescent="0.55000000000000004">
      <c r="C23" s="96"/>
      <c r="D23" s="169"/>
      <c r="E23" s="164"/>
      <c r="F23" s="171"/>
      <c r="G23" s="164"/>
    </row>
    <row r="24" spans="1:17" x14ac:dyDescent="0.55000000000000004">
      <c r="C24" s="96"/>
      <c r="D24" s="168" t="s">
        <v>228</v>
      </c>
      <c r="E24" s="164"/>
      <c r="F24" s="171"/>
      <c r="G24" s="164"/>
    </row>
    <row r="25" spans="1:17" s="164" customFormat="1" x14ac:dyDescent="0.55000000000000004">
      <c r="C25" s="96"/>
      <c r="D25" s="168" t="s">
        <v>227</v>
      </c>
      <c r="F25" s="171"/>
    </row>
    <row r="26" spans="1:17" x14ac:dyDescent="0.55000000000000004">
      <c r="C26" s="96"/>
      <c r="D26" s="168" t="s">
        <v>188</v>
      </c>
      <c r="E26" s="164"/>
      <c r="F26" s="171"/>
      <c r="G26" s="164"/>
    </row>
    <row r="27" spans="1:17" x14ac:dyDescent="0.55000000000000004">
      <c r="C27" s="96"/>
      <c r="D27" s="168" t="s">
        <v>197</v>
      </c>
      <c r="E27" s="164"/>
      <c r="F27" s="171"/>
      <c r="G27" s="164"/>
    </row>
    <row r="28" spans="1:17" x14ac:dyDescent="0.55000000000000004">
      <c r="C28" s="96"/>
      <c r="D28" s="168" t="s">
        <v>124</v>
      </c>
      <c r="E28" s="164"/>
      <c r="F28" s="171"/>
      <c r="G28" s="164"/>
    </row>
    <row r="29" spans="1:17" ht="14.7" thickBot="1" x14ac:dyDescent="0.6">
      <c r="A29" s="98"/>
      <c r="B29" s="1"/>
      <c r="C29" s="151"/>
      <c r="D29" s="155"/>
      <c r="E29" s="1"/>
      <c r="F29" s="152"/>
      <c r="G29" s="1"/>
      <c r="H29" s="1"/>
      <c r="I29" s="1"/>
      <c r="J29" s="1"/>
      <c r="K29" s="1"/>
      <c r="L29" s="1"/>
      <c r="M29" s="1"/>
      <c r="N29" s="1"/>
      <c r="O29" s="1"/>
      <c r="P29" s="1"/>
      <c r="Q29" s="1"/>
    </row>
    <row r="30" spans="1:17" ht="121.2" customHeight="1" thickBot="1" x14ac:dyDescent="0.6">
      <c r="B30" s="153"/>
      <c r="C30" s="154" t="s">
        <v>125</v>
      </c>
      <c r="D30" s="197" t="s">
        <v>229</v>
      </c>
      <c r="E30" s="197"/>
      <c r="F30" s="197"/>
      <c r="G30" s="197"/>
      <c r="H30" s="197"/>
      <c r="I30" s="197"/>
      <c r="J30" s="197"/>
      <c r="K30" s="197"/>
      <c r="L30" s="197"/>
      <c r="M30" s="197"/>
      <c r="N30" s="197"/>
      <c r="O30" s="153"/>
      <c r="P30" s="153"/>
      <c r="Q30" s="153"/>
    </row>
    <row r="31" spans="1:17" ht="14.7" thickBot="1" x14ac:dyDescent="0.6">
      <c r="C31" s="92"/>
      <c r="D31" s="92"/>
      <c r="E31" s="92"/>
    </row>
    <row r="32" spans="1:17" ht="14.7" thickBot="1" x14ac:dyDescent="0.6">
      <c r="C32" s="170" t="b">
        <v>0</v>
      </c>
      <c r="D32" s="92" t="s">
        <v>230</v>
      </c>
      <c r="E32" s="92"/>
    </row>
    <row r="33" spans="3:5" ht="14.7" thickBot="1" x14ac:dyDescent="0.6">
      <c r="C33" s="92"/>
      <c r="D33" s="92"/>
      <c r="E33" s="92"/>
    </row>
    <row r="34" spans="3:5" ht="14.7" thickBot="1" x14ac:dyDescent="0.6">
      <c r="C34" s="170" t="b">
        <v>1</v>
      </c>
      <c r="D34" s="92" t="s">
        <v>199</v>
      </c>
      <c r="E34" s="92"/>
    </row>
    <row r="35" spans="3:5" x14ac:dyDescent="0.55000000000000004">
      <c r="C35" s="96"/>
      <c r="D35" s="92" t="s">
        <v>231</v>
      </c>
      <c r="E35" s="92"/>
    </row>
    <row r="36" spans="3:5" ht="14.7" thickBot="1" x14ac:dyDescent="0.6">
      <c r="C36" s="92"/>
      <c r="D36" s="92"/>
      <c r="E36" s="92"/>
    </row>
    <row r="37" spans="3:5" ht="14.7" thickBot="1" x14ac:dyDescent="0.6">
      <c r="C37" s="97" t="b">
        <v>0</v>
      </c>
      <c r="D37" s="92" t="s">
        <v>200</v>
      </c>
      <c r="E37" s="92"/>
    </row>
    <row r="38" spans="3:5" ht="14.7" thickBot="1" x14ac:dyDescent="0.6">
      <c r="C38" s="96"/>
      <c r="D38" s="92"/>
      <c r="E38" s="92"/>
    </row>
    <row r="39" spans="3:5" ht="14.7" thickBot="1" x14ac:dyDescent="0.6">
      <c r="C39" s="170" t="b">
        <v>0</v>
      </c>
      <c r="D39" s="92" t="s">
        <v>232</v>
      </c>
      <c r="E39" s="92"/>
    </row>
    <row r="40" spans="3:5" x14ac:dyDescent="0.55000000000000004">
      <c r="C40" s="92"/>
      <c r="D40" s="92" t="s">
        <v>175</v>
      </c>
      <c r="E40" s="92"/>
    </row>
    <row r="41" spans="3:5" ht="14.7" thickBot="1" x14ac:dyDescent="0.6">
      <c r="C41" s="96"/>
      <c r="D41" s="92"/>
      <c r="E41" s="92"/>
    </row>
    <row r="42" spans="3:5" ht="14.7" thickBot="1" x14ac:dyDescent="0.6">
      <c r="C42" s="170" t="b">
        <v>0</v>
      </c>
      <c r="D42" s="92" t="s">
        <v>233</v>
      </c>
      <c r="E42" s="92"/>
    </row>
    <row r="43" spans="3:5" x14ac:dyDescent="0.55000000000000004">
      <c r="C43" s="92"/>
      <c r="D43" s="92" t="s">
        <v>126</v>
      </c>
      <c r="E43" s="92"/>
    </row>
    <row r="44" spans="3:5" ht="14.7" thickBot="1" x14ac:dyDescent="0.6">
      <c r="C44" s="96"/>
      <c r="D44" s="92"/>
      <c r="E44" s="92"/>
    </row>
    <row r="45" spans="3:5" ht="14.7" thickBot="1" x14ac:dyDescent="0.6">
      <c r="C45" s="150" t="b">
        <v>1</v>
      </c>
      <c r="D45" s="92" t="s">
        <v>234</v>
      </c>
      <c r="E45" s="92"/>
    </row>
    <row r="46" spans="3:5" ht="14.7" thickBot="1" x14ac:dyDescent="0.6">
      <c r="C46" s="96"/>
      <c r="D46" s="92"/>
      <c r="E46" s="92"/>
    </row>
    <row r="47" spans="3:5" ht="14.7" thickBot="1" x14ac:dyDescent="0.6">
      <c r="C47" s="97" t="b">
        <v>0</v>
      </c>
      <c r="D47" s="92" t="s">
        <v>235</v>
      </c>
      <c r="E47" s="92"/>
    </row>
    <row r="48" spans="3:5" ht="14.7" thickBot="1" x14ac:dyDescent="0.6">
      <c r="C48" s="92"/>
      <c r="D48" s="92"/>
      <c r="E48" s="92"/>
    </row>
    <row r="49" spans="2:17" ht="14.7" thickBot="1" x14ac:dyDescent="0.6">
      <c r="C49" s="97" t="b">
        <v>0</v>
      </c>
      <c r="D49" s="92" t="s">
        <v>176</v>
      </c>
      <c r="E49" s="92"/>
    </row>
    <row r="50" spans="2:17" ht="14.7" thickBot="1" x14ac:dyDescent="0.6">
      <c r="C50" s="92"/>
      <c r="D50" s="92"/>
      <c r="E50" s="92"/>
    </row>
    <row r="51" spans="2:17" ht="14.7" thickBot="1" x14ac:dyDescent="0.6">
      <c r="B51" s="92"/>
      <c r="C51" s="150" t="b">
        <v>1</v>
      </c>
      <c r="D51" s="95" t="s">
        <v>236</v>
      </c>
      <c r="E51" s="92"/>
    </row>
    <row r="52" spans="2:17" x14ac:dyDescent="0.55000000000000004">
      <c r="B52" s="92"/>
      <c r="C52" s="92"/>
      <c r="D52" s="92" t="s">
        <v>127</v>
      </c>
      <c r="E52" s="92"/>
    </row>
    <row r="53" spans="2:17" ht="14.7" thickBot="1" x14ac:dyDescent="0.6"/>
    <row r="54" spans="2:17" s="98" customFormat="1" ht="14.7" thickBot="1" x14ac:dyDescent="0.6">
      <c r="C54" s="150" t="b">
        <v>1</v>
      </c>
      <c r="D54" s="98" t="s">
        <v>189</v>
      </c>
      <c r="E54" s="96"/>
    </row>
    <row r="55" spans="2:17" s="98" customFormat="1" x14ac:dyDescent="0.55000000000000004">
      <c r="D55" s="98" t="s">
        <v>186</v>
      </c>
      <c r="E55" s="96"/>
    </row>
    <row r="56" spans="2:17" s="98" customFormat="1" ht="14.7" thickBot="1" x14ac:dyDescent="0.6">
      <c r="F56" s="91"/>
    </row>
    <row r="57" spans="2:17" s="98" customFormat="1" ht="14.7" thickBot="1" x14ac:dyDescent="0.6">
      <c r="C57" s="150" t="b">
        <v>0</v>
      </c>
      <c r="D57" s="95" t="s">
        <v>202</v>
      </c>
      <c r="E57" s="96"/>
    </row>
    <row r="58" spans="2:17" s="98" customFormat="1" x14ac:dyDescent="0.55000000000000004">
      <c r="D58" s="98" t="s">
        <v>201</v>
      </c>
      <c r="E58" s="96"/>
    </row>
    <row r="59" spans="2:17" ht="14.7" thickBot="1" x14ac:dyDescent="0.6"/>
    <row r="60" spans="2:17" s="98" customFormat="1" ht="14.7" thickBot="1" x14ac:dyDescent="0.6">
      <c r="C60" s="150" t="b">
        <v>1</v>
      </c>
      <c r="D60" s="95" t="s">
        <v>190</v>
      </c>
      <c r="E60" s="96"/>
    </row>
    <row r="61" spans="2:17" s="98" customFormat="1" x14ac:dyDescent="0.55000000000000004">
      <c r="D61" s="98" t="s">
        <v>191</v>
      </c>
      <c r="E61" s="96"/>
    </row>
    <row r="62" spans="2:17" ht="14.7" thickBot="1" x14ac:dyDescent="0.6">
      <c r="B62" s="1"/>
      <c r="C62" s="1"/>
      <c r="D62" s="1"/>
      <c r="E62" s="1"/>
      <c r="F62" s="152"/>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
  <sheetViews>
    <sheetView zoomScale="130" zoomScaleNormal="130" workbookViewId="0">
      <selection activeCell="E12" sqref="E12"/>
    </sheetView>
  </sheetViews>
  <sheetFormatPr defaultRowHeight="14.4" x14ac:dyDescent="0.55000000000000004"/>
  <cols>
    <col min="3" max="3" width="3.47265625" style="164" customWidth="1"/>
    <col min="6" max="6" width="3.47265625" style="164" customWidth="1"/>
    <col min="9" max="9" width="3.47265625" style="164" customWidth="1"/>
  </cols>
  <sheetData>
    <row r="2" spans="2:10" ht="20.399999999999999" x14ac:dyDescent="0.75">
      <c r="B2" s="102" t="s">
        <v>177</v>
      </c>
      <c r="C2" s="102"/>
      <c r="D2" s="98"/>
    </row>
    <row r="3" spans="2:10" ht="14.7" thickBot="1" x14ac:dyDescent="0.6">
      <c r="B3" s="98"/>
      <c r="D3" s="98"/>
    </row>
    <row r="4" spans="2:10" x14ac:dyDescent="0.55000000000000004">
      <c r="B4" s="103">
        <v>1</v>
      </c>
      <c r="C4" s="205"/>
      <c r="D4" s="99" t="str">
        <f>'MC-TF - 20 Pts'!C6</f>
        <v>D</v>
      </c>
      <c r="E4" s="103">
        <v>6</v>
      </c>
      <c r="F4" s="205"/>
      <c r="G4" s="99" t="b">
        <f>'MC-TF - 20 Pts'!C37</f>
        <v>0</v>
      </c>
      <c r="H4" s="103">
        <v>11</v>
      </c>
      <c r="I4" s="205"/>
      <c r="J4" s="99" t="b">
        <f>'MC-TF - 20 Pts'!C49</f>
        <v>0</v>
      </c>
    </row>
    <row r="5" spans="2:10" x14ac:dyDescent="0.55000000000000004">
      <c r="B5" s="104">
        <v>2</v>
      </c>
      <c r="C5" s="204"/>
      <c r="D5" s="100" t="str">
        <f>'MC-TF - 20 Pts'!C14</f>
        <v>E</v>
      </c>
      <c r="E5" s="104">
        <v>7</v>
      </c>
      <c r="F5" s="204"/>
      <c r="G5" s="100" t="b">
        <f>'MC-TF - 20 Pts'!C39</f>
        <v>0</v>
      </c>
      <c r="H5" s="104">
        <v>12</v>
      </c>
      <c r="I5" s="204"/>
      <c r="J5" s="100" t="b">
        <f>'MC-TF - 20 Pts'!C51</f>
        <v>1</v>
      </c>
    </row>
    <row r="6" spans="2:10" x14ac:dyDescent="0.55000000000000004">
      <c r="B6" s="104">
        <v>3</v>
      </c>
      <c r="C6" s="204"/>
      <c r="D6" s="100" t="str">
        <f>'MC-TF - 20 Pts'!C22</f>
        <v>A</v>
      </c>
      <c r="E6" s="104">
        <v>8</v>
      </c>
      <c r="F6" s="204"/>
      <c r="G6" s="100" t="b">
        <f>'MC-TF - 20 Pts'!C42</f>
        <v>0</v>
      </c>
      <c r="H6" s="104">
        <v>13</v>
      </c>
      <c r="I6" s="204"/>
      <c r="J6" s="100" t="b">
        <f>'MC-TF - 20 Pts'!C54</f>
        <v>1</v>
      </c>
    </row>
    <row r="7" spans="2:10" x14ac:dyDescent="0.55000000000000004">
      <c r="B7" s="104">
        <v>4</v>
      </c>
      <c r="C7" s="204"/>
      <c r="D7" s="100" t="b">
        <f>'MC-TF - 20 Pts'!C32</f>
        <v>0</v>
      </c>
      <c r="E7" s="104">
        <v>9</v>
      </c>
      <c r="F7" s="204"/>
      <c r="G7" s="100" t="b">
        <f>'MC-TF - 20 Pts'!C45</f>
        <v>1</v>
      </c>
      <c r="H7" s="104">
        <v>14</v>
      </c>
      <c r="I7" s="204"/>
      <c r="J7" s="100" t="b">
        <f>'MC-TF - 20 Pts'!C57</f>
        <v>0</v>
      </c>
    </row>
    <row r="8" spans="2:10" ht="14.7" thickBot="1" x14ac:dyDescent="0.6">
      <c r="B8" s="105">
        <v>5</v>
      </c>
      <c r="C8" s="206"/>
      <c r="D8" s="101" t="b">
        <f>'MC-TF - 20 Pts'!C34</f>
        <v>1</v>
      </c>
      <c r="E8" s="105">
        <v>10</v>
      </c>
      <c r="F8" s="206"/>
      <c r="G8" s="101" t="b">
        <f>'MC-TF - 20 Pts'!C47</f>
        <v>0</v>
      </c>
      <c r="H8" s="105">
        <v>15</v>
      </c>
      <c r="I8" s="206"/>
      <c r="J8" s="101" t="b">
        <f>'MC-TF - 20 Pts'!C60</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1 - 25 Pts</vt:lpstr>
      <vt:lpstr>Prob 2 - 25 Pts </vt:lpstr>
      <vt:lpstr>Scenario Summary</vt:lpstr>
      <vt:lpstr>Prob 3 - 10 Pts</vt:lpstr>
      <vt:lpstr>Prob 4 - 10 - Pts</vt:lpstr>
      <vt:lpstr>Prob 5 - 10 Pts</vt:lpstr>
      <vt:lpstr>MC-TF - 20 Pts</vt:lpstr>
      <vt:lpstr>Sheet3</vt:lpstr>
      <vt:lpstr>Collect0</vt:lpstr>
      <vt:lpstr>Collect1</vt:lpstr>
      <vt:lpstr>Collect2</vt:lpstr>
      <vt:lpstr>NCF</vt:lpstr>
      <vt:lpstr>'Prob 1 - 25 Pts'!Print_Area</vt:lpstr>
      <vt:lpstr>'Prob 2 - 25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2013-09-30T20:33:28Z</cp:lastPrinted>
  <dcterms:created xsi:type="dcterms:W3CDTF">2010-01-07T16:00:30Z</dcterms:created>
  <dcterms:modified xsi:type="dcterms:W3CDTF">2016-06-12T21:33:19Z</dcterms:modified>
</cp:coreProperties>
</file>