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D:\Ole Miss Business Dropbox\Del Hawley\Class\Summer 2020\Exam 1\"/>
    </mc:Choice>
  </mc:AlternateContent>
  <xr:revisionPtr revIDLastSave="0" documentId="13_ncr:1_{233DBBA6-E619-492B-9EBF-F85F1FDD86E3}" xr6:coauthVersionLast="36" xr6:coauthVersionMax="45" xr10:uidLastSave="{00000000-0000-0000-0000-000000000000}"/>
  <bookViews>
    <workbookView xWindow="14220" yWindow="2205" windowWidth="14400" windowHeight="13335" tabRatio="887" xr2:uid="{00000000-000D-0000-FFFF-FFFF00000000}"/>
  </bookViews>
  <sheets>
    <sheet name="INSTRUCTIONS" sheetId="8" r:id="rId1"/>
    <sheet name="Prob 1 - 30 Pts" sheetId="1" r:id="rId2"/>
    <sheet name="Prob 2 - 25 Pts " sheetId="6" r:id="rId3"/>
    <sheet name="Scenario Summary" sheetId="32" r:id="rId4"/>
    <sheet name="Prob 3 - 10 Pts" sheetId="7" r:id="rId5"/>
    <sheet name="Prob 4 - 5 - Pts" sheetId="21" r:id="rId6"/>
    <sheet name="Prob 5 - 5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1 - 30 Pts'!$B$17:$G$67</definedName>
    <definedName name="_xlnm.Print_Area" localSheetId="2">'Prob 2 - 25 Pts '!$B$20:$N$55</definedName>
  </definedNames>
  <calcPr calcId="191029"/>
</workbook>
</file>

<file path=xl/calcChain.xml><?xml version="1.0" encoding="utf-8"?>
<calcChain xmlns="http://schemas.openxmlformats.org/spreadsheetml/2006/main">
  <c r="D23" i="1" l="1"/>
  <c r="C32" i="21" l="1"/>
  <c r="E25" i="21"/>
  <c r="E26" i="21"/>
  <c r="D25" i="21"/>
  <c r="D26" i="21"/>
  <c r="E32" i="1"/>
  <c r="D21" i="21" l="1"/>
  <c r="E21" i="21" s="1"/>
  <c r="D22" i="21"/>
  <c r="E22" i="21" s="1"/>
  <c r="D23" i="21"/>
  <c r="E23" i="21"/>
  <c r="D24" i="21"/>
  <c r="E24" i="21" s="1"/>
  <c r="D9" i="19" l="1"/>
  <c r="J8" i="19"/>
  <c r="J7" i="19"/>
  <c r="J6" i="19"/>
  <c r="J5" i="19"/>
  <c r="J4" i="19"/>
  <c r="G9" i="19"/>
  <c r="G8" i="19"/>
  <c r="G7" i="19"/>
  <c r="G6" i="19"/>
  <c r="G5" i="19"/>
  <c r="G4" i="19"/>
  <c r="D8" i="19"/>
  <c r="D81" i="1"/>
  <c r="D90" i="1"/>
  <c r="D76" i="1" l="1"/>
  <c r="D20" i="21" l="1"/>
  <c r="E20" i="21" s="1"/>
  <c r="D86" i="1"/>
  <c r="D7" i="19" l="1"/>
  <c r="D6" i="19"/>
  <c r="D5" i="19"/>
  <c r="D4" i="19"/>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30" i="21" l="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50" i="1"/>
  <c r="D47" i="1"/>
  <c r="D78" i="1" s="1"/>
  <c r="D46" i="1"/>
  <c r="E66" i="1"/>
  <c r="E60" i="1"/>
  <c r="E62" i="1" s="1"/>
  <c r="E52" i="1"/>
  <c r="G30" i="1"/>
  <c r="G28" i="1"/>
  <c r="G27" i="1"/>
  <c r="G26" i="1"/>
  <c r="G24" i="1"/>
  <c r="G23" i="1"/>
  <c r="D30" i="1"/>
  <c r="D28" i="1"/>
  <c r="D27" i="1"/>
  <c r="D26"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G44" i="1" s="1"/>
  <c r="G62" i="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K45" i="6" l="1"/>
  <c r="G54" i="1"/>
  <c r="G49" i="1"/>
  <c r="E33" i="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<sst xmlns="http://schemas.openxmlformats.org/spreadsheetml/2006/main" count="310" uniqueCount="250">
  <si>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</si>
  <si>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</si>
  <si>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</si>
  <si>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</si>
  <si>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</si>
  <si>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</si>
  <si>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</si>
  <si>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</si>
  <si>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</si>
  <si>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</si>
  <si>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</si>
  <si>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</si>
  <si>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</si>
  <si>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</si>
  <si>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</si>
  <si>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</si>
  <si>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</si>
  <si>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</si>
  <si>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</si>
  <si>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</si>
  <si>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</si>
  <si>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</si>
  <si>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</si>
  <si>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</si>
  <si>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</si>
  <si>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</si>
  <si>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</si>
  <si>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</si>
  <si>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</si>
  <si>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</si>
  <si>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</si>
  <si>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</si>
  <si>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</si>
  <si>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</si>
  <si>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</si>
  <si>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</si>
  <si>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</si>
  <si>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</si>
  <si>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</si>
  <si>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</si>
  <si>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</si>
  <si>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</si>
  <si>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</si>
  <si>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</si>
  <si>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</si>
  <si>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</si>
  <si>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</si>
  <si>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</si>
  <si>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</si>
  <si>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</si>
  <si>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</si>
  <si>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</si>
  <si>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</si>
  <si>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</si>
  <si>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</si>
  <si>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</si>
  <si>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</si>
  <si>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</si>
  <si>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</si>
  <si>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</si>
  <si>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</si>
  <si>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</si>
  <si>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</si>
  <si>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</si>
  <si>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</si>
  <si>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</si>
  <si>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</si>
  <si>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</si>
  <si>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</si>
  <si>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</si>
  <si>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</si>
  <si>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</si>
  <si>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</si>
  <si>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</si>
  <si>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</si>
  <si>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</si>
  <si>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</si>
  <si>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</si>
  <si>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</si>
  <si>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</si>
  <si>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</si>
  <si>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</si>
  <si>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</si>
  <si>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</si>
  <si>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</si>
  <si>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</si>
  <si>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</si>
  <si>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</si>
  <si>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</si>
  <si>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</si>
  <si>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</si>
  <si>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</si>
  <si>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</si>
  <si>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</si>
  <si>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</si>
  <si>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</si>
  <si>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</si>
  <si>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</si>
  <si>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</si>
  <si>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</si>
  <si>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</si>
  <si>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</si>
  <si>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</si>
  <si>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</si>
  <si>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</si>
  <si>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</si>
  <si>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</si>
  <si>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</si>
  <si>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</si>
  <si>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</si>
  <si>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</si>
  <si>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</si>
  <si>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</si>
  <si>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</si>
  <si>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</si>
  <si>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</si>
  <si>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</si>
  <si>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</si>
  <si>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</si>
  <si>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</si>
  <si>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</si>
  <si>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</si>
  <si>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</si>
  <si>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</si>
  <si>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</si>
  <si>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</si>
  <si>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</si>
  <si>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</si>
  <si>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</si>
  <si>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</si>
  <si>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</si>
  <si>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</si>
  <si>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</si>
  <si>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</si>
  <si>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</si>
  <si>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</si>
  <si>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</si>
  <si>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</si>
  <si>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</si>
  <si>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</si>
  <si>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</si>
  <si>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</si>
  <si>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</si>
  <si>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</si>
  <si>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</si>
  <si>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</si>
  <si>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</si>
  <si>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</si>
  <si>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</si>
  <si>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</si>
  <si>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</si>
  <si>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</si>
  <si>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</si>
  <si>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</si>
  <si>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</si>
  <si>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</si>
  <si>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</si>
  <si>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</si>
  <si>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</si>
  <si>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</si>
  <si>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</si>
  <si>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</si>
  <si>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</si>
  <si>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</si>
  <si>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</si>
  <si>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</si>
  <si>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</si>
  <si>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</si>
  <si>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</si>
  <si>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</si>
  <si>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</si>
  <si>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</si>
  <si>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</si>
  <si>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</si>
  <si>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</si>
  <si>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</si>
  <si>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</si>
  <si>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</si>
  <si>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</si>
  <si>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</si>
  <si>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</si>
  <si>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</si>
  <si>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</si>
  <si>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</si>
  <si>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</si>
  <si>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</si>
  <si>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</si>
  <si>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</si>
  <si>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</si>
  <si>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</si>
  <si>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on the balance sheet.</t>
  </si>
  <si>
    <t xml:space="preserve"> 14. The book value of a company's common stock equals Total Assets minus Long Term Debt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</si>
  <si>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</si>
  <si>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</si>
  <si>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</si>
  <si>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</si>
  <si>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</si>
  <si>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</si>
  <si>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</si>
  <si>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</si>
  <si>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</si>
  <si>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</si>
  <si>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</si>
  <si>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less cash dividends paid to shareholders during the period</t>
  </si>
  <si>
    <t xml:space="preserve">  9. Depreciation for a period is included in the calculations on the statement of cash flows even though it is not a cash flow.</t>
  </si>
  <si>
    <t>FY
2016</t>
  </si>
  <si>
    <t>For the Year Ended Dec. 31, 2017</t>
  </si>
  <si>
    <t>FY
2017</t>
  </si>
  <si>
    <t xml:space="preserve"> 17. In the statement of cash flows, the entry for depreciation is always a cash outflow and so should have a negative sign.</t>
  </si>
  <si>
    <t>2018</t>
  </si>
  <si>
    <t>Created by Del on 9/22/2011
Modified by D Hawley on 9/22/2013
Modified by Del on 6/9/2014
Modified by Del Hawley on 2/16/2015
Modified by Del Hawley on 6/12/2016
Modified by Del Hawley on 2/19/2018
Modified by Hawley, Del on 7/2/2018
Modified by Hawle</t>
  </si>
  <si>
    <t>Created by Del on 9/22/2011
Modified by Del on 6/9/2012
Modified by D Hawley on 9/22/2013
Modified by Del on 6/9/2014
Modified by Del Hawley on 2/16/2015
Modified by Del Hawley on 6/12/2016
Modified by Hawley, Del on 7/2/2018
Modified by Del Hawley on</t>
  </si>
  <si>
    <r>
      <t>1.</t>
    </r>
    <r>
      <rPr>
        <sz val="7"/>
        <color theme="1"/>
        <rFont val="Times New Roman"/>
        <family val="1"/>
      </rPr>
      <t xml:space="preserve">       </t>
    </r>
    <r>
      <rPr>
        <sz val="11"/>
        <color theme="1"/>
        <rFont val="Calibri"/>
        <family val="2"/>
        <scheme val="minor"/>
      </rPr>
      <t>The balance sheet:</t>
    </r>
  </si>
  <si>
    <t>B</t>
  </si>
  <si>
    <r>
      <t>c.</t>
    </r>
    <r>
      <rPr>
        <sz val="7"/>
        <color theme="1"/>
        <rFont val="Times New Roman"/>
        <family val="1"/>
      </rPr>
      <t xml:space="preserve">       </t>
    </r>
    <r>
      <rPr>
        <sz val="11"/>
        <color theme="1"/>
        <rFont val="Calibri"/>
        <family val="2"/>
        <scheme val="minor"/>
      </rPr>
      <t>An increase in Accounts Receivable on the balance sheet.</t>
    </r>
  </si>
  <si>
    <r>
      <t>a.</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</si>
  <si>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Debt to equity ratio</t>
    </r>
  </si>
  <si>
    <t xml:space="preserve">  6. Retained earnings on the balance sheet does not represent funds available for new investments.</t>
  </si>
  <si>
    <t xml:space="preserve"> 16. Operating profit margin equals operating profit (EBIT) divided by sales or revenue for a period.</t>
  </si>
  <si>
    <t xml:space="preserve"> 12. The book values of assets as shown on the balance sheet are not meant to be accurate </t>
  </si>
  <si>
    <t xml:space="preserve"> 10. In the Statement of Cash Flows, an increase in the Marketable Securities account would be listed as a SOURCE of cash.</t>
  </si>
  <si>
    <t xml:space="preserve">  8. Net Income on the income statement should always be an accurate representation of the increase in the actual total value</t>
  </si>
  <si>
    <t xml:space="preserve">       of the company during a given period.</t>
  </si>
  <si>
    <t xml:space="preserve">  7. A financial statement with each item expressed as a percentage of Sales is called</t>
  </si>
  <si>
    <t xml:space="preserve">  4. Lotus 1-2-3 was the first spreadsheet program ever to be marketed for personal computers.</t>
  </si>
  <si>
    <t>Inputs for 2019</t>
  </si>
  <si>
    <r>
      <t xml:space="preserve">Note: 2019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</si>
  <si>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2018.</t>
  </si>
  <si>
    <t>2018-2019</t>
  </si>
  <si>
    <t>2019</t>
  </si>
  <si>
    <t>Complete the 2018 and 2019 Income Statements and Balance Sheets using</t>
  </si>
  <si>
    <t xml:space="preserve">appropriately use the 2019 inputs. All computations should reflect any changes </t>
  </si>
  <si>
    <t>Create the common size income statements and balance sheets for 2018 and 2019</t>
  </si>
  <si>
    <t>Tax Rate (2018 and 2019)</t>
  </si>
  <si>
    <t>-</t>
  </si>
  <si>
    <r>
      <t xml:space="preserve">Save your work and </t>
    </r>
    <r>
      <rPr>
        <b/>
        <u/>
        <sz val="22"/>
        <color rgb="FFFF0000"/>
        <rFont val="Calibri"/>
        <family val="2"/>
        <scheme val="minor"/>
      </rPr>
      <t>close Excel</t>
    </r>
    <r>
      <rPr>
        <b/>
        <sz val="14"/>
        <color rgb="FFFF0000"/>
        <rFont val="Calibri"/>
        <family val="2"/>
        <scheme val="minor"/>
      </rPr>
      <t>.</t>
    </r>
  </si>
  <si>
    <t>Tell your proctor that you have finished and that you are</t>
  </si>
  <si>
    <t xml:space="preserve">ready to upload the file so he/she knows you are going to </t>
  </si>
  <si>
    <t>access the internet.</t>
  </si>
  <si>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</si>
  <si>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</si>
  <si>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</si>
  <si>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</si>
  <si>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</si>
  <si>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</si>
  <si>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1 in the main</t>
  </si>
  <si>
    <t xml:space="preserve">   CONTENT folder in Blackboard.</t>
  </si>
  <si>
    <t>Follow the instructions for uploading your completed exam file.</t>
  </si>
  <si>
    <t>After that</t>
  </si>
  <si>
    <t>Close Blackboard.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</si>
</sst>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sz val="12"/>
      <color theme="1"/>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187">
    <xf numFmtId="0" fontId="0" fillId="0" borderId="0" xfId="0"/>
    <xf numFmtId="0" fontId="0" fillId="0" borderId="1" xfId="0" applyBorder="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xf numFmtId="166" fontId="8" fillId="0" borderId="0" xfId="2" applyNumberFormat="1" applyFont="1"/>
    <xf numFmtId="166" fontId="1" fillId="0" borderId="4" xfId="2" applyNumberFormat="1" applyBorder="1"/>
    <xf numFmtId="41" fontId="7" fillId="0" borderId="0" xfId="0" applyNumberFormat="1" applyFont="1"/>
    <xf numFmtId="0" fontId="11" fillId="0" borderId="0" xfId="0" applyFont="1"/>
    <xf numFmtId="43" fontId="0" fillId="2" borderId="4" xfId="0" applyNumberFormat="1" applyFill="1" applyBorder="1"/>
    <xf numFmtId="43" fontId="0" fillId="2" borderId="0" xfId="0" applyNumberFormat="1" applyFill="1"/>
    <xf numFmtId="43" fontId="8" fillId="2" borderId="0" xfId="0" applyNumberFormat="1" applyFont="1" applyFill="1"/>
    <xf numFmtId="0" fontId="13" fillId="5" borderId="6" xfId="0" applyFont="1" applyFill="1" applyBorder="1" applyAlignment="1">
      <alignment horizontal="right"/>
    </xf>
    <xf numFmtId="0" fontId="13" fillId="5" borderId="14" xfId="0" applyFont="1" applyFill="1" applyBorder="1" applyAlignment="1">
      <alignment horizontal="right"/>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Fill="1"/>
    <xf numFmtId="43" fontId="0" fillId="3" borderId="0" xfId="0" applyNumberFormat="1" applyFill="1"/>
    <xf numFmtId="43" fontId="0" fillId="3" borderId="9" xfId="0" applyNumberFormat="1" applyFill="1" applyBorder="1"/>
    <xf numFmtId="0" fontId="0" fillId="3" borderId="0" xfId="0" applyFill="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Fill="1" applyBorder="1"/>
    <xf numFmtId="0" fontId="0" fillId="0" borderId="0" xfId="0" applyAlignment="1">
      <alignment horizontal="left"/>
    </xf>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Border="1" applyAlignment="1">
      <alignment horizontal="center"/>
    </xf>
    <xf numFmtId="168" fontId="0" fillId="0" borderId="21" xfId="1" applyNumberFormat="1" applyFont="1" applyBorder="1"/>
    <xf numFmtId="0" fontId="0" fillId="0" borderId="22" xfId="0" applyBorder="1" applyAlignment="1">
      <alignment horizontal="center"/>
    </xf>
    <xf numFmtId="44" fontId="0" fillId="0" borderId="25" xfId="0" applyNumberFormat="1" applyBorder="1"/>
    <xf numFmtId="0" fontId="0" fillId="0" borderId="24" xfId="0"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Font="1" applyFill="1" applyBorder="1" applyAlignment="1">
      <alignment horizontal="center" vertical="center" wrapText="1"/>
    </xf>
    <xf numFmtId="0" fontId="4" fillId="12" borderId="13" xfId="0"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Font="1"/>
    <xf numFmtId="166" fontId="6" fillId="0" borderId="1" xfId="2" applyNumberFormat="1" applyFont="1" applyBorder="1"/>
    <xf numFmtId="164" fontId="6" fillId="0" borderId="0" xfId="3" applyNumberFormat="1" applyFont="1"/>
    <xf numFmtId="0" fontId="0" fillId="0" borderId="30" xfId="0" applyBorder="1" applyAlignment="1">
      <alignment horizontal="center"/>
    </xf>
    <xf numFmtId="44" fontId="0" fillId="0" borderId="31" xfId="0" applyNumberFormat="1" applyBorder="1"/>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0" fontId="3" fillId="9"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25" xfId="0" applyFont="1" applyFill="1" applyBorder="1" applyAlignment="1">
      <alignment horizontal="center" vertical="center"/>
    </xf>
    <xf numFmtId="0" fontId="3" fillId="10" borderId="23" xfId="0" applyFont="1" applyFill="1" applyBorder="1" applyAlignment="1">
      <alignment horizontal="center" vertical="center"/>
    </xf>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9" fontId="0" fillId="7" borderId="0" xfId="0" applyNumberFormat="1" applyFill="1" applyBorder="1" applyAlignment="1"/>
    <xf numFmtId="0" fontId="14" fillId="0" borderId="0" xfId="0" applyFont="1" applyFill="1" applyBorder="1" applyAlignment="1">
      <alignment vertical="top" wrapText="1"/>
    </xf>
    <xf numFmtId="43" fontId="7" fillId="0" borderId="0" xfId="0" quotePrefix="1" applyNumberFormat="1" applyFont="1" applyAlignment="1">
      <alignment horizontal="center"/>
    </xf>
    <xf numFmtId="0" fontId="23" fillId="5" borderId="14" xfId="0" applyFont="1" applyFill="1" applyBorder="1" applyAlignment="1">
      <alignment horizontal="left"/>
    </xf>
    <xf numFmtId="0" fontId="23" fillId="5" borderId="6" xfId="0" applyFont="1" applyFill="1" applyBorder="1" applyAlignment="1">
      <alignment horizontal="left"/>
    </xf>
    <xf numFmtId="0" fontId="24" fillId="6" borderId="0" xfId="0" applyFont="1" applyFill="1" applyBorder="1" applyAlignment="1">
      <alignment horizontal="left"/>
    </xf>
    <xf numFmtId="0" fontId="25" fillId="6" borderId="15" xfId="0" applyFont="1" applyFill="1" applyBorder="1" applyAlignment="1">
      <alignment horizontal="left"/>
    </xf>
    <xf numFmtId="0" fontId="24" fillId="6" borderId="1" xfId="0" applyFont="1" applyFill="1" applyBorder="1" applyAlignment="1">
      <alignment horizontal="left"/>
    </xf>
    <xf numFmtId="0" fontId="26" fillId="0" borderId="0" xfId="0" applyFont="1"/>
    <xf numFmtId="0" fontId="1" fillId="0" borderId="0" xfId="0" applyFont="1"/>
    <xf numFmtId="0" fontId="28" fillId="0" borderId="0" xfId="0" applyFont="1"/>
    <xf numFmtId="0" fontId="29" fillId="0" borderId="0" xfId="0" applyFont="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-228973.1</c:v>
                </c:pt>
                <c:pt idx="4">
                  <c:v>-217168.7</c:v>
                </c:pt>
                <c:pt idx="5">
                  <c:v>-206886.90000000002</c:v>
                </c:pt>
                <c:pt idx="6">
                  <c:v>-198542.00000000003</c:v>
                </c:pt>
                <c:pt idx="7">
                  <c:v>-186581.00000000003</c:v>
                </c:pt>
                <c:pt idx="8">
                  <c:v>-172835.60000000003</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3007.2999999999993</c:v>
                </c:pt>
                <c:pt idx="1">
                  <c:v>14259.3</c:v>
                </c:pt>
                <c:pt idx="2">
                  <c:v>26358.100000000002</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100000"/>
          <c:min val="-25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2019)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60%, Collect1 = 15%, and Collect2 = 25%, the NORMAL scenario will use the base case collection rates given here, and the BAD scenario will use Collect0 = 30%, Collect1 = 10%, and Collect2 = 60%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$100,000 and the minimum to -$250,000 with major unit divisions set to $25,000. FORMAT the chart so that it is self-explanatory and professional and appropriatel in appearance (which includes dollar signs on dollars).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137273</xdr:rowOff>
    </xdr:from>
    <xdr:to>
      <xdr:col>4</xdr:col>
      <xdr:colOff>304801</xdr:colOff>
      <xdr:row>9</xdr:row>
      <xdr:rowOff>47625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85751" y="137273"/>
          <a:ext cx="5200650" cy="2043952"/>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800" b="1">
              <a:solidFill>
                <a:schemeClr val="dk1"/>
              </a:solidFill>
              <a:effectLst/>
              <a:latin typeface="+mn-lt"/>
              <a:ea typeface="+mn-ea"/>
              <a:cs typeface="+mn-cs"/>
            </a:rPr>
            <a:t>Format the area below</a:t>
          </a:r>
          <a:r>
            <a:rPr lang="en-US" sz="1800" b="1" baseline="0">
              <a:solidFill>
                <a:schemeClr val="dk1"/>
              </a:solidFill>
              <a:effectLst/>
              <a:latin typeface="+mn-lt"/>
              <a:ea typeface="+mn-ea"/>
              <a:cs typeface="+mn-cs"/>
            </a:rPr>
            <a:t> to look as much like the picture to the right as possible. Do not include the arrows. You can move or resize the picture as needed to give you room to do your work.</a:t>
          </a:r>
          <a:endParaRPr lang="en-US" sz="2800">
            <a:effectLst/>
          </a:endParaRP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flipH="1">
          <a:off x="5693256" y="1785321"/>
          <a:ext cx="2719224" cy="166183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25.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8" name="Right Arrow 7">
          <a:extLst>
            <a:ext uri="{FF2B5EF4-FFF2-40B4-BE49-F238E27FC236}">
              <a16:creationId xmlns:a16="http://schemas.microsoft.com/office/drawing/2014/main" id="{00000000-0008-0000-0600-000008000000}"/>
            </a:ext>
          </a:extLst>
        </xdr:cNvPr>
        <xdr:cNvSpPr/>
      </xdr:nvSpPr>
      <xdr:spPr>
        <a:xfrm flipH="1">
          <a:off x="5768338" y="3077695"/>
          <a:ext cx="2632712" cy="132016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a:extLst>
            <a:ext uri="{FF2B5EF4-FFF2-40B4-BE49-F238E27FC236}">
              <a16:creationId xmlns:a16="http://schemas.microsoft.com/office/drawing/2014/main" id="{00000000-0008-0000-0600-000009000000}"/>
            </a:ext>
          </a:extLst>
        </xdr:cNvPr>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581025</xdr:colOff>
      <xdr:row>4</xdr:row>
      <xdr:rowOff>47625</xdr:rowOff>
    </xdr:from>
    <xdr:to>
      <xdr:col>23</xdr:col>
      <xdr:colOff>122739</xdr:colOff>
      <xdr:row>29</xdr:row>
      <xdr:rowOff>189725</xdr:rowOff>
    </xdr:to>
    <xdr:pic>
      <xdr:nvPicPr>
        <xdr:cNvPr id="3" name="Picture 2">
          <a:extLst>
            <a:ext uri="{FF2B5EF4-FFF2-40B4-BE49-F238E27FC236}">
              <a16:creationId xmlns:a16="http://schemas.microsoft.com/office/drawing/2014/main" id="{CEEF2BFA-C471-416C-8CD2-0AE2E91F8CEA}"/>
            </a:ext>
          </a:extLst>
        </xdr:cNvPr>
        <xdr:cNvPicPr>
          <a:picLocks noChangeAspect="1"/>
        </xdr:cNvPicPr>
      </xdr:nvPicPr>
      <xdr:blipFill>
        <a:blip xmlns:r="http://schemas.openxmlformats.org/officeDocument/2006/relationships" r:embed="rId1"/>
        <a:stretch>
          <a:fillRect/>
        </a:stretch>
      </xdr:blipFill>
      <xdr:spPr>
        <a:xfrm>
          <a:off x="8201025" y="1228725"/>
          <a:ext cx="8685714" cy="62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46"/>
  <sheetViews>
    <sheetView showGridLines="0" tabSelected="1" zoomScale="115" zoomScaleNormal="115" workbookViewId="0"/>
  </sheetViews>
  <sheetFormatPr defaultRowHeight="15" x14ac:dyDescent="0.25"/>
  <cols>
    <col min="1" max="1" width="3.140625" customWidth="1"/>
    <col min="2" max="2" width="4.5703125" customWidth="1"/>
  </cols>
  <sheetData>
    <row r="2" spans="2:2" ht="18.75" x14ac:dyDescent="0.3">
      <c r="B2" s="45" t="s">
        <v>110</v>
      </c>
    </row>
    <row r="3" spans="2:2" ht="18.75" x14ac:dyDescent="0.3">
      <c r="B3" s="45" t="s">
        <v>111</v>
      </c>
    </row>
    <row r="4" spans="2:2" ht="18.75" x14ac:dyDescent="0.3">
      <c r="B4" s="45" t="s">
        <v>112</v>
      </c>
    </row>
    <row r="5" spans="2:2" ht="11.1" customHeight="1" x14ac:dyDescent="0.3">
      <c r="B5" s="45"/>
    </row>
    <row r="6" spans="2:2" ht="18.75" x14ac:dyDescent="0.3">
      <c r="B6" s="45" t="s">
        <v>113</v>
      </c>
    </row>
    <row r="7" spans="2:2" ht="18.75" x14ac:dyDescent="0.3">
      <c r="B7" s="45" t="s">
        <v>125</v>
      </c>
    </row>
    <row r="8" spans="2:2" ht="11.1" customHeight="1" x14ac:dyDescent="0.3">
      <c r="B8" s="45"/>
    </row>
    <row r="9" spans="2:2" ht="18.75" x14ac:dyDescent="0.3">
      <c r="B9" s="45" t="s">
        <v>116</v>
      </c>
    </row>
    <row r="10" spans="2:2" ht="18.75" x14ac:dyDescent="0.3">
      <c r="B10" s="45" t="s">
        <v>117</v>
      </c>
    </row>
    <row r="11" spans="2:2" ht="18.75" x14ac:dyDescent="0.3">
      <c r="B11" s="45" t="s">
        <v>118</v>
      </c>
    </row>
    <row r="12" spans="2:2" ht="14.1" customHeight="1" x14ac:dyDescent="0.3">
      <c r="B12" s="45"/>
    </row>
    <row r="13" spans="2:2" x14ac:dyDescent="0.25">
      <c r="B13" t="s">
        <v>126</v>
      </c>
    </row>
    <row r="14" spans="2:2" ht="8.4499999999999993" customHeight="1" x14ac:dyDescent="0.3">
      <c r="B14" s="45"/>
    </row>
    <row r="15" spans="2:2" x14ac:dyDescent="0.25">
      <c r="B15" t="s">
        <v>114</v>
      </c>
    </row>
    <row r="16" spans="2:2" ht="6" customHeight="1" x14ac:dyDescent="0.25"/>
    <row r="17" spans="2:11" x14ac:dyDescent="0.25">
      <c r="B17" t="s">
        <v>115</v>
      </c>
    </row>
    <row r="19" spans="2:11" x14ac:dyDescent="0.25">
      <c r="B19" t="s">
        <v>127</v>
      </c>
    </row>
    <row r="20" spans="2:11" x14ac:dyDescent="0.25">
      <c r="B20" t="s">
        <v>169</v>
      </c>
    </row>
    <row r="21" spans="2:11" x14ac:dyDescent="0.25">
      <c r="B21" t="s">
        <v>128</v>
      </c>
    </row>
    <row r="23" spans="2:11" ht="15.75" thickBot="1" x14ac:dyDescent="0.3">
      <c r="B23" s="1"/>
      <c r="C23" s="1"/>
      <c r="D23" s="1"/>
      <c r="E23" s="1"/>
      <c r="F23" s="1"/>
      <c r="G23" s="1"/>
      <c r="H23" s="1"/>
      <c r="I23" s="1"/>
      <c r="J23" s="1"/>
      <c r="K23" s="1"/>
    </row>
    <row r="24" spans="2:11" s="160" customFormat="1" ht="15.75" x14ac:dyDescent="0.25"/>
    <row r="25" spans="2:11" ht="18.75" x14ac:dyDescent="0.3">
      <c r="B25" s="45" t="s">
        <v>119</v>
      </c>
    </row>
    <row r="27" spans="2:11" s="161" customFormat="1" ht="30.75" customHeight="1" x14ac:dyDescent="0.45">
      <c r="B27" t="s">
        <v>234</v>
      </c>
      <c r="C27" s="45" t="s">
        <v>235</v>
      </c>
    </row>
    <row r="28" spans="2:11" s="161" customFormat="1" ht="18.75" x14ac:dyDescent="0.3">
      <c r="B28" t="s">
        <v>234</v>
      </c>
      <c r="C28" s="45" t="s">
        <v>236</v>
      </c>
    </row>
    <row r="29" spans="2:11" s="161" customFormat="1" ht="18.75" x14ac:dyDescent="0.3">
      <c r="B29"/>
      <c r="C29" s="45" t="s">
        <v>237</v>
      </c>
    </row>
    <row r="30" spans="2:11" s="161" customFormat="1" ht="18.75" x14ac:dyDescent="0.3">
      <c r="B30"/>
      <c r="C30" s="45" t="s">
        <v>238</v>
      </c>
    </row>
    <row r="31" spans="2:11" s="161" customFormat="1" x14ac:dyDescent="0.25">
      <c r="B31"/>
      <c r="C31"/>
    </row>
    <row r="32" spans="2:11" s="161" customFormat="1" ht="18.75" x14ac:dyDescent="0.3">
      <c r="B32" s="162" t="s">
        <v>239</v>
      </c>
      <c r="C32"/>
    </row>
    <row r="33" spans="2:3" s="161" customFormat="1" x14ac:dyDescent="0.25">
      <c r="B33"/>
      <c r="C33"/>
    </row>
    <row r="34" spans="2:3" s="161" customFormat="1" x14ac:dyDescent="0.25">
      <c r="B34"/>
      <c r="C34" s="163" t="s">
        <v>240</v>
      </c>
    </row>
    <row r="35" spans="2:3" s="161" customFormat="1" x14ac:dyDescent="0.25">
      <c r="B35" t="s">
        <v>234</v>
      </c>
      <c r="C35" t="s">
        <v>241</v>
      </c>
    </row>
    <row r="36" spans="2:3" s="161" customFormat="1" x14ac:dyDescent="0.25">
      <c r="B36" t="s">
        <v>234</v>
      </c>
      <c r="C36" t="s">
        <v>242</v>
      </c>
    </row>
    <row r="37" spans="2:3" s="161" customFormat="1" x14ac:dyDescent="0.25">
      <c r="B37" t="s">
        <v>234</v>
      </c>
      <c r="C37" t="s">
        <v>243</v>
      </c>
    </row>
    <row r="38" spans="2:3" s="161" customFormat="1" x14ac:dyDescent="0.25">
      <c r="B38"/>
      <c r="C38"/>
    </row>
    <row r="39" spans="2:3" s="161" customFormat="1" x14ac:dyDescent="0.25">
      <c r="B39"/>
      <c r="C39" s="163" t="s">
        <v>244</v>
      </c>
    </row>
    <row r="40" spans="2:3" s="161" customFormat="1" x14ac:dyDescent="0.25">
      <c r="B40" t="s">
        <v>234</v>
      </c>
      <c r="C40" t="s">
        <v>245</v>
      </c>
    </row>
    <row r="41" spans="2:3" s="161" customFormat="1" x14ac:dyDescent="0.25">
      <c r="B41"/>
      <c r="C41" t="s">
        <v>246</v>
      </c>
    </row>
    <row r="42" spans="2:3" s="161" customFormat="1" x14ac:dyDescent="0.25">
      <c r="B42" t="s">
        <v>234</v>
      </c>
      <c r="C42" t="s">
        <v>247</v>
      </c>
    </row>
    <row r="43" spans="2:3" s="161" customFormat="1" x14ac:dyDescent="0.25">
      <c r="B43" t="s">
        <v>234</v>
      </c>
      <c r="C43" t="s">
        <v>243</v>
      </c>
    </row>
    <row r="44" spans="2:3" s="161" customFormat="1" x14ac:dyDescent="0.25">
      <c r="B44"/>
      <c r="C44"/>
    </row>
    <row r="45" spans="2:3" s="161" customFormat="1" x14ac:dyDescent="0.25">
      <c r="B45"/>
      <c r="C45" s="163" t="s">
        <v>248</v>
      </c>
    </row>
    <row r="46" spans="2:3" s="161" customFormat="1" x14ac:dyDescent="0.25">
      <c r="B46" t="s">
        <v>234</v>
      </c>
      <c r="C46"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zoomScaleNormal="100" workbookViewId="0"/>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customWidth="1"/>
    <col min="11" max="11" width="76.42578125" customWidth="1"/>
    <col min="12" max="12" width="2.140625" customWidth="1"/>
  </cols>
  <sheetData>
    <row r="1" spans="2:12" ht="15.75" thickBot="1" x14ac:dyDescent="0.3">
      <c r="B1" s="1"/>
      <c r="C1" s="1"/>
      <c r="D1" s="1"/>
    </row>
    <row r="2" spans="2:12" s="2" customFormat="1" ht="24" customHeight="1" thickBot="1" x14ac:dyDescent="0.35">
      <c r="B2" s="169" t="s">
        <v>225</v>
      </c>
      <c r="C2" s="169"/>
      <c r="D2" s="169"/>
      <c r="I2" s="55"/>
      <c r="J2" s="56"/>
      <c r="K2" s="57"/>
      <c r="L2" s="58"/>
    </row>
    <row r="3" spans="2:12" s="2" customFormat="1" ht="18.75" customHeight="1" x14ac:dyDescent="0.25">
      <c r="B3" s="3" t="s">
        <v>233</v>
      </c>
      <c r="C3" s="3"/>
      <c r="D3" s="136">
        <v>0.28000000000000003</v>
      </c>
      <c r="I3" s="59"/>
      <c r="J3" s="60" t="s">
        <v>64</v>
      </c>
      <c r="K3" s="61" t="s">
        <v>230</v>
      </c>
      <c r="L3" s="62"/>
    </row>
    <row r="4" spans="2:12" s="2" customFormat="1" x14ac:dyDescent="0.25">
      <c r="B4" s="3" t="s">
        <v>0</v>
      </c>
      <c r="C4" s="3"/>
      <c r="D4" s="132">
        <v>225000</v>
      </c>
      <c r="I4" s="59"/>
      <c r="J4" s="63"/>
      <c r="K4" s="61" t="s">
        <v>65</v>
      </c>
      <c r="L4" s="62"/>
    </row>
    <row r="5" spans="2:12" s="2" customFormat="1" x14ac:dyDescent="0.25">
      <c r="B5" s="3" t="s">
        <v>11</v>
      </c>
      <c r="C5" s="3"/>
      <c r="D5" s="133">
        <v>7659215</v>
      </c>
      <c r="I5" s="59"/>
      <c r="J5" s="63"/>
      <c r="K5" s="61" t="s">
        <v>231</v>
      </c>
      <c r="L5" s="62"/>
    </row>
    <row r="6" spans="2:12" s="2" customFormat="1" x14ac:dyDescent="0.25">
      <c r="B6" s="3" t="s">
        <v>1</v>
      </c>
      <c r="C6" s="3"/>
      <c r="D6" s="133">
        <v>1185000</v>
      </c>
      <c r="I6" s="59"/>
      <c r="J6" s="63"/>
      <c r="K6" s="61" t="s">
        <v>67</v>
      </c>
      <c r="L6" s="62"/>
    </row>
    <row r="7" spans="2:12" s="2" customFormat="1" x14ac:dyDescent="0.25">
      <c r="B7" s="3" t="s">
        <v>3</v>
      </c>
      <c r="C7" s="3"/>
      <c r="D7" s="133">
        <v>750000</v>
      </c>
      <c r="I7" s="59"/>
      <c r="J7" s="61"/>
      <c r="K7" s="61"/>
      <c r="L7" s="62"/>
    </row>
    <row r="8" spans="2:12" s="2" customFormat="1" x14ac:dyDescent="0.25">
      <c r="B8" s="3" t="s">
        <v>4</v>
      </c>
      <c r="C8" s="3"/>
      <c r="D8" s="133">
        <v>230000</v>
      </c>
      <c r="I8" s="59"/>
      <c r="J8" s="60" t="s">
        <v>66</v>
      </c>
      <c r="K8" s="61" t="s">
        <v>232</v>
      </c>
      <c r="L8" s="62"/>
    </row>
    <row r="9" spans="2:12" s="2" customFormat="1" x14ac:dyDescent="0.25">
      <c r="B9" s="3" t="s">
        <v>2</v>
      </c>
      <c r="C9" s="3"/>
      <c r="D9" s="133">
        <v>1146000</v>
      </c>
      <c r="I9" s="59"/>
      <c r="J9" s="63"/>
      <c r="K9" s="61" t="s">
        <v>68</v>
      </c>
      <c r="L9" s="62"/>
    </row>
    <row r="10" spans="2:12" s="2" customFormat="1" x14ac:dyDescent="0.25">
      <c r="B10" s="3" t="s">
        <v>6</v>
      </c>
      <c r="C10" s="3"/>
      <c r="D10" s="133">
        <v>2275000</v>
      </c>
      <c r="I10" s="59"/>
      <c r="J10" s="63"/>
      <c r="K10" s="61"/>
      <c r="L10" s="62"/>
    </row>
    <row r="11" spans="2:12" s="2" customFormat="1" x14ac:dyDescent="0.25">
      <c r="B11" s="3" t="s">
        <v>7</v>
      </c>
      <c r="C11" s="3"/>
      <c r="D11" s="133">
        <v>1550000</v>
      </c>
      <c r="I11" s="59"/>
      <c r="J11" s="60" t="s">
        <v>69</v>
      </c>
      <c r="K11" s="61" t="s">
        <v>70</v>
      </c>
      <c r="L11" s="62"/>
    </row>
    <row r="12" spans="2:12" s="2" customFormat="1" x14ac:dyDescent="0.25">
      <c r="B12" s="3" t="s">
        <v>8</v>
      </c>
      <c r="C12" s="3"/>
      <c r="D12" s="133">
        <v>1225000</v>
      </c>
      <c r="I12" s="59"/>
      <c r="J12" s="63"/>
      <c r="K12" s="61" t="s">
        <v>71</v>
      </c>
      <c r="L12" s="62"/>
    </row>
    <row r="13" spans="2:12" s="2" customFormat="1" ht="15.75" thickBot="1" x14ac:dyDescent="0.3">
      <c r="B13" s="3" t="s">
        <v>5</v>
      </c>
      <c r="C13" s="3"/>
      <c r="D13" s="134">
        <v>0.75</v>
      </c>
      <c r="I13" s="64"/>
      <c r="J13" s="67"/>
      <c r="K13" s="66"/>
      <c r="L13" s="65"/>
    </row>
    <row r="14" spans="2:12" s="2" customFormat="1" ht="15.75" thickBot="1" x14ac:dyDescent="0.3">
      <c r="B14" s="5" t="s">
        <v>72</v>
      </c>
      <c r="C14" s="5"/>
      <c r="D14" s="135">
        <v>250000</v>
      </c>
      <c r="I14"/>
      <c r="J14"/>
      <c r="K14"/>
      <c r="L14"/>
    </row>
    <row r="15" spans="2:12" s="2" customFormat="1" ht="17.25" x14ac:dyDescent="0.4">
      <c r="B15" s="6" t="s">
        <v>226</v>
      </c>
      <c r="C15" s="6"/>
      <c r="D15" s="4"/>
      <c r="I15"/>
      <c r="J15"/>
      <c r="K15"/>
      <c r="L15"/>
    </row>
    <row r="16" spans="2:12" ht="15.75" thickBot="1" x14ac:dyDescent="0.3">
      <c r="B16" s="7" t="s">
        <v>227</v>
      </c>
      <c r="C16" s="7"/>
      <c r="D16" s="1"/>
    </row>
    <row r="17" spans="2:8" ht="15.75" thickBot="1" x14ac:dyDescent="0.3">
      <c r="B17" s="1"/>
      <c r="C17" s="1"/>
      <c r="D17" s="1"/>
      <c r="E17" s="1"/>
      <c r="F17" s="1"/>
      <c r="G17" s="1"/>
    </row>
    <row r="18" spans="2:8" ht="21" customHeight="1" x14ac:dyDescent="0.3">
      <c r="B18" s="170" t="s">
        <v>9</v>
      </c>
      <c r="C18" s="170"/>
      <c r="D18" s="170"/>
      <c r="E18" s="170"/>
      <c r="F18" s="170"/>
      <c r="G18" s="170"/>
    </row>
    <row r="19" spans="2:8" ht="21" customHeight="1" x14ac:dyDescent="0.3">
      <c r="B19" s="170" t="s">
        <v>228</v>
      </c>
      <c r="C19" s="170"/>
      <c r="D19" s="170"/>
      <c r="E19" s="170"/>
      <c r="F19" s="170"/>
      <c r="G19" s="170"/>
    </row>
    <row r="20" spans="2:8" ht="21" customHeight="1" thickBot="1" x14ac:dyDescent="0.35">
      <c r="B20" s="164" t="s">
        <v>10</v>
      </c>
      <c r="C20" s="164"/>
      <c r="D20" s="165"/>
      <c r="E20" s="165"/>
      <c r="F20" s="165"/>
      <c r="G20" s="165"/>
    </row>
    <row r="21" spans="2:8" ht="9" customHeight="1" x14ac:dyDescent="0.3">
      <c r="B21" s="8"/>
      <c r="C21" s="8"/>
      <c r="D21" s="8"/>
      <c r="E21" s="8"/>
      <c r="F21" s="8"/>
      <c r="G21" s="8"/>
    </row>
    <row r="22" spans="2:8" ht="17.25" x14ac:dyDescent="0.4">
      <c r="B22" s="2"/>
      <c r="C22" s="2"/>
      <c r="D22" s="154" t="s">
        <v>229</v>
      </c>
      <c r="E22" s="154" t="s">
        <v>209</v>
      </c>
      <c r="F22" s="154" t="s">
        <v>229</v>
      </c>
      <c r="G22" s="154" t="s">
        <v>209</v>
      </c>
    </row>
    <row r="23" spans="2:8" x14ac:dyDescent="0.25">
      <c r="B23" s="2" t="s">
        <v>11</v>
      </c>
      <c r="C23" s="2"/>
      <c r="D23" s="9">
        <f>D5/1000</f>
        <v>7659.2150000000001</v>
      </c>
      <c r="E23" s="9">
        <v>7585</v>
      </c>
      <c r="F23" s="10">
        <f>D23/D$23</f>
        <v>1</v>
      </c>
      <c r="G23" s="10">
        <f>E23/E$23</f>
        <v>1</v>
      </c>
    </row>
    <row r="24" spans="2:8" ht="17.25" x14ac:dyDescent="0.4">
      <c r="B24" s="11" t="s">
        <v>12</v>
      </c>
      <c r="C24" s="11"/>
      <c r="D24" s="11">
        <f>E24/E23*D23</f>
        <v>3495.8737415952537</v>
      </c>
      <c r="E24" s="11">
        <v>3462</v>
      </c>
      <c r="F24" s="10">
        <f t="shared" ref="F24:G33" si="0">D24/D$23</f>
        <v>0.45642715886618324</v>
      </c>
      <c r="G24" s="10">
        <f t="shared" si="0"/>
        <v>0.45642715886618324</v>
      </c>
      <c r="H24" s="12"/>
    </row>
    <row r="25" spans="2:8" x14ac:dyDescent="0.25">
      <c r="B25" s="2" t="s">
        <v>13</v>
      </c>
      <c r="C25" s="2"/>
      <c r="D25" s="9">
        <f>D23-D24</f>
        <v>4163.3412584047464</v>
      </c>
      <c r="E25" s="9">
        <f>E23-E24</f>
        <v>4123</v>
      </c>
      <c r="F25" s="10">
        <f t="shared" si="0"/>
        <v>0.54357284113381676</v>
      </c>
      <c r="G25" s="10">
        <f t="shared" si="0"/>
        <v>0.54357284113381676</v>
      </c>
    </row>
    <row r="26" spans="2:8" x14ac:dyDescent="0.25">
      <c r="B26" s="2" t="s">
        <v>1</v>
      </c>
      <c r="C26" s="2"/>
      <c r="D26" s="2">
        <f>D6/1000</f>
        <v>1185</v>
      </c>
      <c r="E26" s="2">
        <v>1025</v>
      </c>
      <c r="F26" s="10">
        <f t="shared" si="0"/>
        <v>0.15471559422212328</v>
      </c>
      <c r="G26" s="10">
        <f t="shared" si="0"/>
        <v>0.13513513513513514</v>
      </c>
    </row>
    <row r="27" spans="2:8" x14ac:dyDescent="0.25">
      <c r="B27" s="2" t="s">
        <v>2</v>
      </c>
      <c r="C27" s="2"/>
      <c r="D27" s="2">
        <f>D9/1000</f>
        <v>1146</v>
      </c>
      <c r="E27" s="2">
        <v>1230</v>
      </c>
      <c r="F27" s="10">
        <f t="shared" si="0"/>
        <v>0.14962368858949643</v>
      </c>
      <c r="G27" s="10">
        <f t="shared" si="0"/>
        <v>0.16216216216216217</v>
      </c>
    </row>
    <row r="28" spans="2:8" ht="17.25" x14ac:dyDescent="0.4">
      <c r="B28" s="11" t="s">
        <v>3</v>
      </c>
      <c r="C28" s="11"/>
      <c r="D28" s="11">
        <f>D7/1000</f>
        <v>750</v>
      </c>
      <c r="E28" s="11">
        <v>850</v>
      </c>
      <c r="F28" s="10">
        <f t="shared" si="0"/>
        <v>9.7921262165900816E-2</v>
      </c>
      <c r="G28" s="10">
        <f t="shared" si="0"/>
        <v>0.11206328279499012</v>
      </c>
    </row>
    <row r="29" spans="2:8" x14ac:dyDescent="0.25">
      <c r="B29" s="2" t="s">
        <v>14</v>
      </c>
      <c r="C29" s="2"/>
      <c r="D29" s="9">
        <f>D25-D26-D27-D28</f>
        <v>1082.3412584047464</v>
      </c>
      <c r="E29" s="9">
        <f>E25-E26-E27-E28</f>
        <v>1018</v>
      </c>
      <c r="F29" s="10">
        <f t="shared" si="0"/>
        <v>0.14131229615629623</v>
      </c>
      <c r="G29" s="10">
        <f t="shared" si="0"/>
        <v>0.13421226104152933</v>
      </c>
    </row>
    <row r="30" spans="2:8" ht="17.25" x14ac:dyDescent="0.4">
      <c r="B30" s="11" t="s">
        <v>4</v>
      </c>
      <c r="C30" s="11"/>
      <c r="D30" s="11">
        <f>D8/1000</f>
        <v>230</v>
      </c>
      <c r="E30" s="11">
        <v>185</v>
      </c>
      <c r="F30" s="10">
        <f t="shared" si="0"/>
        <v>3.0029187064209581E-2</v>
      </c>
      <c r="G30" s="10">
        <f t="shared" si="0"/>
        <v>2.4390243902439025E-2</v>
      </c>
    </row>
    <row r="31" spans="2:8" x14ac:dyDescent="0.25">
      <c r="B31" s="2" t="s">
        <v>15</v>
      </c>
      <c r="C31" s="2"/>
      <c r="D31" s="9">
        <f>D29-D30</f>
        <v>852.34125840474644</v>
      </c>
      <c r="E31" s="9">
        <f>E29-E30</f>
        <v>833</v>
      </c>
      <c r="F31" s="10">
        <f t="shared" si="0"/>
        <v>0.11128310909208665</v>
      </c>
      <c r="G31" s="10">
        <f t="shared" si="0"/>
        <v>0.10982201713909032</v>
      </c>
    </row>
    <row r="32" spans="2:8" ht="17.25" x14ac:dyDescent="0.4">
      <c r="B32" s="11" t="s">
        <v>16</v>
      </c>
      <c r="C32" s="11"/>
      <c r="D32" s="11">
        <f>D31*D3</f>
        <v>238.65555235332903</v>
      </c>
      <c r="E32" s="11">
        <f>E31*0.28</f>
        <v>233.24</v>
      </c>
      <c r="F32" s="10">
        <f t="shared" si="0"/>
        <v>3.1159270545784264E-2</v>
      </c>
      <c r="G32" s="10">
        <f t="shared" si="0"/>
        <v>3.0750164798945288E-2</v>
      </c>
    </row>
    <row r="33" spans="2:7" x14ac:dyDescent="0.25">
      <c r="B33" s="2" t="s">
        <v>17</v>
      </c>
      <c r="C33" s="2"/>
      <c r="D33" s="9">
        <f>D31-D32</f>
        <v>613.68570605141736</v>
      </c>
      <c r="E33" s="9">
        <f>E31-E32</f>
        <v>599.76</v>
      </c>
      <c r="F33" s="10">
        <f t="shared" si="0"/>
        <v>8.0123838546302381E-2</v>
      </c>
      <c r="G33" s="10">
        <f t="shared" si="0"/>
        <v>7.9071852340145021E-2</v>
      </c>
    </row>
    <row r="34" spans="2:7" ht="18" thickBot="1" x14ac:dyDescent="0.45">
      <c r="B34" s="11"/>
      <c r="C34" s="11"/>
      <c r="D34" s="11"/>
      <c r="E34" s="11"/>
      <c r="F34" s="10"/>
      <c r="G34" s="10"/>
    </row>
    <row r="35" spans="2:7" ht="15.75" thickBot="1" x14ac:dyDescent="0.3">
      <c r="B35" s="2" t="s">
        <v>18</v>
      </c>
      <c r="D35" s="27">
        <f>D33/D4*1000</f>
        <v>2.7274920268951881</v>
      </c>
      <c r="E35" s="9"/>
      <c r="F35" s="10"/>
      <c r="G35" s="10"/>
    </row>
    <row r="36" spans="2:7" ht="7.5" customHeight="1" x14ac:dyDescent="0.25">
      <c r="B36" s="2"/>
      <c r="C36" s="2"/>
      <c r="D36" s="9"/>
      <c r="E36" s="9"/>
    </row>
    <row r="37" spans="2:7" ht="7.5" customHeight="1" x14ac:dyDescent="0.25"/>
    <row r="38" spans="2:7" ht="7.5" customHeight="1" thickBot="1" x14ac:dyDescent="0.3">
      <c r="B38" s="1"/>
      <c r="C38" s="1"/>
      <c r="D38" s="1"/>
      <c r="E38" s="1"/>
      <c r="F38" s="1"/>
      <c r="G38" s="1"/>
    </row>
    <row r="39" spans="2:7" ht="18.75" x14ac:dyDescent="0.3">
      <c r="B39" s="170" t="s">
        <v>19</v>
      </c>
      <c r="C39" s="170"/>
      <c r="D39" s="170"/>
      <c r="E39" s="170"/>
      <c r="F39" s="170"/>
      <c r="G39" s="170"/>
    </row>
    <row r="40" spans="2:7" ht="18.75" x14ac:dyDescent="0.3">
      <c r="B40" s="170" t="s">
        <v>228</v>
      </c>
      <c r="C40" s="170"/>
      <c r="D40" s="170"/>
      <c r="E40" s="170"/>
      <c r="F40" s="170"/>
      <c r="G40" s="170"/>
    </row>
    <row r="41" spans="2:7" ht="19.5" thickBot="1" x14ac:dyDescent="0.35">
      <c r="B41" s="164" t="s">
        <v>10</v>
      </c>
      <c r="C41" s="164"/>
      <c r="D41" s="165"/>
      <c r="E41" s="165"/>
      <c r="F41" s="165"/>
      <c r="G41" s="165"/>
    </row>
    <row r="42" spans="2:7" ht="18.75" x14ac:dyDescent="0.3">
      <c r="B42" s="13"/>
      <c r="C42" s="13"/>
      <c r="D42" s="8"/>
      <c r="E42" s="8"/>
      <c r="F42" s="8"/>
      <c r="G42" s="8"/>
    </row>
    <row r="43" spans="2:7" ht="17.25" x14ac:dyDescent="0.4">
      <c r="D43" s="154" t="s">
        <v>229</v>
      </c>
      <c r="E43" s="154" t="s">
        <v>209</v>
      </c>
      <c r="F43" s="154" t="s">
        <v>229</v>
      </c>
      <c r="G43" s="154" t="s">
        <v>209</v>
      </c>
    </row>
    <row r="44" spans="2:7" x14ac:dyDescent="0.25">
      <c r="B44" s="14" t="s">
        <v>20</v>
      </c>
      <c r="C44" s="2"/>
      <c r="D44" s="15">
        <f>D49-D48-D47-D46-D45</f>
        <v>9684.9357060514158</v>
      </c>
      <c r="E44" s="15">
        <v>8780</v>
      </c>
      <c r="F44" s="10">
        <f>D44/D$67</f>
        <v>0.52621404718447762</v>
      </c>
      <c r="G44" s="10">
        <f>E44/E$67</f>
        <v>0.50243204577968525</v>
      </c>
    </row>
    <row r="45" spans="2:7" x14ac:dyDescent="0.25">
      <c r="B45" s="14" t="s">
        <v>21</v>
      </c>
      <c r="C45" s="2"/>
      <c r="D45" s="47">
        <v>675</v>
      </c>
      <c r="E45" s="2">
        <v>740</v>
      </c>
      <c r="F45" s="10">
        <f t="shared" ref="F45:G67" si="1">D45/D$67</f>
        <v>3.6674944742027253E-2</v>
      </c>
      <c r="G45" s="10">
        <f t="shared" si="1"/>
        <v>4.2346208869814023E-2</v>
      </c>
    </row>
    <row r="46" spans="2:7" x14ac:dyDescent="0.25">
      <c r="B46" s="14" t="s">
        <v>22</v>
      </c>
      <c r="C46" s="2"/>
      <c r="D46" s="2">
        <f>D10/1000</f>
        <v>2275</v>
      </c>
      <c r="E46" s="2">
        <v>2050</v>
      </c>
      <c r="F46" s="10">
        <f t="shared" si="1"/>
        <v>0.12360814709349925</v>
      </c>
      <c r="G46" s="10">
        <f t="shared" si="1"/>
        <v>0.11731044349070101</v>
      </c>
    </row>
    <row r="47" spans="2:7" x14ac:dyDescent="0.25">
      <c r="B47" s="14" t="s">
        <v>7</v>
      </c>
      <c r="C47" s="2"/>
      <c r="D47" s="2">
        <f>D11/1000</f>
        <v>1550</v>
      </c>
      <c r="E47" s="2">
        <v>1325</v>
      </c>
      <c r="F47" s="10">
        <f t="shared" si="1"/>
        <v>8.42165397779885E-2</v>
      </c>
      <c r="G47" s="10">
        <f t="shared" si="1"/>
        <v>7.5822603719599424E-2</v>
      </c>
    </row>
    <row r="48" spans="2:7" ht="17.25" x14ac:dyDescent="0.4">
      <c r="B48" s="16" t="s">
        <v>23</v>
      </c>
      <c r="C48" s="2"/>
      <c r="D48" s="48">
        <v>380</v>
      </c>
      <c r="E48" s="11">
        <v>420</v>
      </c>
      <c r="F48" s="10">
        <f t="shared" si="1"/>
        <v>2.06466355584746E-2</v>
      </c>
      <c r="G48" s="10">
        <f t="shared" si="1"/>
        <v>2.4034334763948499E-2</v>
      </c>
    </row>
    <row r="49" spans="2:7" x14ac:dyDescent="0.25">
      <c r="B49" s="17" t="s">
        <v>24</v>
      </c>
      <c r="C49" s="17"/>
      <c r="D49" s="18">
        <f>D54-D53-D52</f>
        <v>14564.935706051416</v>
      </c>
      <c r="E49" s="18">
        <f>E54-E53-E52</f>
        <v>13315</v>
      </c>
      <c r="F49" s="10">
        <f t="shared" si="1"/>
        <v>0.79136031435646714</v>
      </c>
      <c r="G49" s="10">
        <f t="shared" si="1"/>
        <v>0.76194563662374826</v>
      </c>
    </row>
    <row r="50" spans="2:7" x14ac:dyDescent="0.25">
      <c r="B50" s="14" t="s">
        <v>25</v>
      </c>
      <c r="C50" s="2"/>
      <c r="D50" s="2">
        <f>E50+D14/1000</f>
        <v>5775</v>
      </c>
      <c r="E50" s="2">
        <v>5525</v>
      </c>
      <c r="F50" s="10">
        <f t="shared" si="1"/>
        <v>0.31377452723734428</v>
      </c>
      <c r="G50" s="10">
        <f t="shared" si="1"/>
        <v>0.31616595135908443</v>
      </c>
    </row>
    <row r="51" spans="2:7" ht="17.25" x14ac:dyDescent="0.4">
      <c r="B51" s="16" t="s">
        <v>26</v>
      </c>
      <c r="C51" s="2"/>
      <c r="D51" s="11">
        <f>E51+D28</f>
        <v>3400</v>
      </c>
      <c r="E51" s="11">
        <v>2650</v>
      </c>
      <c r="F51" s="10">
        <f t="shared" si="1"/>
        <v>0.184733054996878</v>
      </c>
      <c r="G51" s="10">
        <f t="shared" si="1"/>
        <v>0.15164520743919885</v>
      </c>
    </row>
    <row r="52" spans="2:7" x14ac:dyDescent="0.25">
      <c r="B52" s="17" t="s">
        <v>27</v>
      </c>
      <c r="C52" s="2"/>
      <c r="D52" s="18">
        <f>D50-D51</f>
        <v>2375</v>
      </c>
      <c r="E52" s="18">
        <f>E50-E51</f>
        <v>2875</v>
      </c>
      <c r="F52" s="10">
        <f t="shared" si="1"/>
        <v>0.12904147224046625</v>
      </c>
      <c r="G52" s="10">
        <f t="shared" si="1"/>
        <v>0.16452074391988555</v>
      </c>
    </row>
    <row r="53" spans="2:7" ht="17.25" x14ac:dyDescent="0.4">
      <c r="B53" s="19" t="s">
        <v>28</v>
      </c>
      <c r="C53" s="2"/>
      <c r="D53" s="48">
        <v>1465</v>
      </c>
      <c r="E53" s="11">
        <v>1285</v>
      </c>
      <c r="F53" s="10">
        <f t="shared" si="1"/>
        <v>7.9598213403066553E-2</v>
      </c>
      <c r="G53" s="10">
        <f t="shared" si="1"/>
        <v>7.3533619456366231E-2</v>
      </c>
    </row>
    <row r="54" spans="2:7" x14ac:dyDescent="0.25">
      <c r="B54" s="20" t="s">
        <v>29</v>
      </c>
      <c r="C54" s="20"/>
      <c r="D54" s="21">
        <f>D67</f>
        <v>18404.935706051416</v>
      </c>
      <c r="E54" s="21">
        <f>E67</f>
        <v>17475</v>
      </c>
      <c r="F54" s="10">
        <f t="shared" si="1"/>
        <v>1</v>
      </c>
      <c r="G54" s="10">
        <f t="shared" si="1"/>
        <v>1</v>
      </c>
    </row>
    <row r="55" spans="2:7" x14ac:dyDescent="0.25">
      <c r="B55" s="2"/>
      <c r="C55" s="2"/>
      <c r="D55" s="2"/>
      <c r="E55" s="2"/>
      <c r="F55" s="10"/>
      <c r="G55" s="10"/>
    </row>
    <row r="56" spans="2:7" x14ac:dyDescent="0.25">
      <c r="B56" s="14" t="s">
        <v>30</v>
      </c>
      <c r="C56" s="2"/>
      <c r="D56" s="15">
        <f>D12/1000</f>
        <v>1225</v>
      </c>
      <c r="E56" s="15">
        <v>1045</v>
      </c>
      <c r="F56" s="10">
        <f t="shared" si="1"/>
        <v>6.655823305034575E-2</v>
      </c>
      <c r="G56" s="10">
        <f t="shared" si="1"/>
        <v>5.9799713876967094E-2</v>
      </c>
    </row>
    <row r="57" spans="2:7" x14ac:dyDescent="0.25">
      <c r="B57" s="14" t="s">
        <v>31</v>
      </c>
      <c r="C57" s="2"/>
      <c r="D57" s="47">
        <v>255</v>
      </c>
      <c r="E57" s="2">
        <v>145</v>
      </c>
      <c r="F57" s="10">
        <f t="shared" si="1"/>
        <v>1.385497912476585E-2</v>
      </c>
      <c r="G57" s="10">
        <f t="shared" si="1"/>
        <v>8.2975679542203144E-3</v>
      </c>
    </row>
    <row r="58" spans="2:7" x14ac:dyDescent="0.25">
      <c r="B58" s="14" t="s">
        <v>32</v>
      </c>
      <c r="C58" s="2"/>
      <c r="D58" s="47">
        <v>425</v>
      </c>
      <c r="E58" s="2">
        <v>360</v>
      </c>
      <c r="F58" s="10">
        <f t="shared" si="1"/>
        <v>2.3091631874609751E-2</v>
      </c>
      <c r="G58" s="10">
        <f t="shared" si="1"/>
        <v>2.0600858369098713E-2</v>
      </c>
    </row>
    <row r="59" spans="2:7" ht="17.25" x14ac:dyDescent="0.4">
      <c r="B59" s="16" t="s">
        <v>33</v>
      </c>
      <c r="C59" s="2"/>
      <c r="D59" s="48">
        <v>450</v>
      </c>
      <c r="E59" s="11">
        <v>570</v>
      </c>
      <c r="F59" s="10">
        <f t="shared" si="1"/>
        <v>2.44499631613515E-2</v>
      </c>
      <c r="G59" s="10">
        <f t="shared" si="1"/>
        <v>3.2618025751072963E-2</v>
      </c>
    </row>
    <row r="60" spans="2:7" x14ac:dyDescent="0.25">
      <c r="B60" s="17" t="s">
        <v>34</v>
      </c>
      <c r="C60" s="2"/>
      <c r="D60" s="18">
        <f>SUM(D56:D59)</f>
        <v>2355</v>
      </c>
      <c r="E60" s="18">
        <f>SUM(E56:E59)</f>
        <v>2120</v>
      </c>
      <c r="F60" s="10">
        <f t="shared" si="1"/>
        <v>0.12795480721107286</v>
      </c>
      <c r="G60" s="10">
        <f t="shared" si="1"/>
        <v>0.12131616595135908</v>
      </c>
    </row>
    <row r="61" spans="2:7" ht="17.25" x14ac:dyDescent="0.4">
      <c r="B61" s="16" t="s">
        <v>35</v>
      </c>
      <c r="C61" s="2"/>
      <c r="D61" s="48">
        <v>3125</v>
      </c>
      <c r="E61" s="11">
        <v>2875</v>
      </c>
      <c r="F61" s="10">
        <f t="shared" si="1"/>
        <v>0.16979141084271876</v>
      </c>
      <c r="G61" s="10">
        <f t="shared" si="1"/>
        <v>0.16452074391988555</v>
      </c>
    </row>
    <row r="62" spans="2:7" x14ac:dyDescent="0.25">
      <c r="B62" s="17" t="s">
        <v>36</v>
      </c>
      <c r="C62" s="2"/>
      <c r="D62" s="18">
        <f>D60+D61</f>
        <v>5480</v>
      </c>
      <c r="E62" s="18">
        <f>E60+E61</f>
        <v>4995</v>
      </c>
      <c r="F62" s="10">
        <f t="shared" si="1"/>
        <v>0.29774621805379159</v>
      </c>
      <c r="G62" s="10">
        <f t="shared" si="1"/>
        <v>0.28583690987124466</v>
      </c>
    </row>
    <row r="63" spans="2:7" x14ac:dyDescent="0.25">
      <c r="B63" s="14" t="s">
        <v>37</v>
      </c>
      <c r="C63" s="2"/>
      <c r="D63" s="47">
        <v>5500</v>
      </c>
      <c r="E63" s="2">
        <v>5500</v>
      </c>
      <c r="F63" s="10">
        <f t="shared" si="1"/>
        <v>0.29883288308318501</v>
      </c>
      <c r="G63" s="10">
        <f t="shared" si="1"/>
        <v>0.31473533619456368</v>
      </c>
    </row>
    <row r="64" spans="2:7" x14ac:dyDescent="0.25">
      <c r="B64" s="14" t="s">
        <v>38</v>
      </c>
      <c r="C64" s="2"/>
      <c r="D64" s="47">
        <v>2460</v>
      </c>
      <c r="E64" s="2">
        <v>2460</v>
      </c>
      <c r="F64" s="10">
        <f t="shared" si="1"/>
        <v>0.13365979861538821</v>
      </c>
      <c r="G64" s="10">
        <f t="shared" si="1"/>
        <v>0.1407725321888412</v>
      </c>
    </row>
    <row r="65" spans="2:7" ht="17.25" x14ac:dyDescent="0.4">
      <c r="B65" s="16" t="s">
        <v>39</v>
      </c>
      <c r="C65" s="2"/>
      <c r="D65" s="11">
        <f>D33-(D13*D4/1000)+E65</f>
        <v>4964.9357060514176</v>
      </c>
      <c r="E65" s="11">
        <v>4520</v>
      </c>
      <c r="F65" s="10">
        <f t="shared" si="1"/>
        <v>0.26976110024763528</v>
      </c>
      <c r="G65" s="10">
        <f t="shared" si="1"/>
        <v>0.25865522174535049</v>
      </c>
    </row>
    <row r="66" spans="2:7" ht="17.25" x14ac:dyDescent="0.4">
      <c r="B66" s="22" t="s">
        <v>40</v>
      </c>
      <c r="C66" s="2"/>
      <c r="D66" s="23">
        <f>D63+D64+D65</f>
        <v>12924.935706051418</v>
      </c>
      <c r="E66" s="23">
        <f>E63+E64+E65</f>
        <v>12480</v>
      </c>
      <c r="F66" s="10">
        <f t="shared" si="1"/>
        <v>0.70225378194620847</v>
      </c>
      <c r="G66" s="10">
        <f t="shared" si="1"/>
        <v>0.71416309012875534</v>
      </c>
    </row>
    <row r="67" spans="2:7" x14ac:dyDescent="0.25">
      <c r="B67" s="20" t="s">
        <v>41</v>
      </c>
      <c r="C67" s="20"/>
      <c r="D67" s="21">
        <f>D66+D62</f>
        <v>18404.935706051416</v>
      </c>
      <c r="E67" s="21">
        <f>E66+E62</f>
        <v>17475</v>
      </c>
      <c r="F67" s="10">
        <f t="shared" si="1"/>
        <v>1</v>
      </c>
      <c r="G67" s="10">
        <f t="shared" si="1"/>
        <v>1</v>
      </c>
    </row>
    <row r="68" spans="2:7" ht="15.75" thickBot="1" x14ac:dyDescent="0.3">
      <c r="B68" s="24"/>
      <c r="C68" s="24"/>
      <c r="D68" s="25"/>
      <c r="E68" s="25"/>
    </row>
    <row r="69" spans="2:7" ht="18.75" x14ac:dyDescent="0.3">
      <c r="B69" s="166" t="s">
        <v>42</v>
      </c>
      <c r="C69" s="166"/>
      <c r="D69" s="166"/>
      <c r="E69" s="166"/>
    </row>
    <row r="70" spans="2:7" ht="19.5" thickBot="1" x14ac:dyDescent="0.35">
      <c r="B70" s="167" t="s">
        <v>10</v>
      </c>
      <c r="C70" s="167"/>
      <c r="D70" s="167"/>
      <c r="E70" s="167"/>
    </row>
    <row r="72" spans="2:7" ht="17.25" x14ac:dyDescent="0.4">
      <c r="D72" s="168" t="s">
        <v>229</v>
      </c>
      <c r="E72" s="168"/>
    </row>
    <row r="73" spans="2:7" ht="15.75" x14ac:dyDescent="0.25">
      <c r="B73" s="26" t="s">
        <v>43</v>
      </c>
      <c r="C73" s="2"/>
      <c r="D73" s="2"/>
    </row>
    <row r="74" spans="2:7" x14ac:dyDescent="0.25">
      <c r="B74" s="14" t="s">
        <v>44</v>
      </c>
      <c r="C74" s="2"/>
      <c r="D74" s="2"/>
    </row>
    <row r="75" spans="2:7" x14ac:dyDescent="0.25">
      <c r="B75" s="14" t="s">
        <v>45</v>
      </c>
      <c r="C75" s="2"/>
    </row>
    <row r="76" spans="2:7" x14ac:dyDescent="0.25">
      <c r="B76" s="14" t="s">
        <v>46</v>
      </c>
      <c r="C76" s="2"/>
      <c r="D76" s="46">
        <f>E45-D45</f>
        <v>65</v>
      </c>
    </row>
    <row r="77" spans="2:7" x14ac:dyDescent="0.25">
      <c r="B77" s="14" t="s">
        <v>47</v>
      </c>
      <c r="C77" s="2"/>
    </row>
    <row r="78" spans="2:7" x14ac:dyDescent="0.25">
      <c r="B78" s="14" t="s">
        <v>48</v>
      </c>
      <c r="C78" s="2"/>
      <c r="D78" s="46">
        <f>E47-D47</f>
        <v>-225</v>
      </c>
    </row>
    <row r="79" spans="2:7" x14ac:dyDescent="0.25">
      <c r="B79" s="14" t="s">
        <v>49</v>
      </c>
      <c r="C79" s="2"/>
    </row>
    <row r="80" spans="2:7" x14ac:dyDescent="0.25">
      <c r="B80" s="14" t="s">
        <v>50</v>
      </c>
      <c r="C80" s="2"/>
    </row>
    <row r="81" spans="2:4" ht="17.25" x14ac:dyDescent="0.4">
      <c r="B81" s="16" t="s">
        <v>51</v>
      </c>
      <c r="C81" s="2"/>
      <c r="D81" s="46">
        <f>D59-E59</f>
        <v>-120</v>
      </c>
    </row>
    <row r="82" spans="2:4" x14ac:dyDescent="0.25">
      <c r="B82" s="17" t="s">
        <v>52</v>
      </c>
      <c r="C82" s="17"/>
      <c r="D82" s="17"/>
    </row>
    <row r="83" spans="2:4" x14ac:dyDescent="0.25">
      <c r="B83" s="2"/>
      <c r="C83" s="2"/>
      <c r="D83" s="2"/>
    </row>
    <row r="84" spans="2:4" x14ac:dyDescent="0.25">
      <c r="B84" s="17" t="s">
        <v>53</v>
      </c>
      <c r="C84" s="2"/>
      <c r="D84" s="2"/>
    </row>
    <row r="85" spans="2:4" x14ac:dyDescent="0.25">
      <c r="B85" s="14" t="s">
        <v>54</v>
      </c>
      <c r="C85" s="2"/>
    </row>
    <row r="86" spans="2:4" ht="17.25" x14ac:dyDescent="0.4">
      <c r="B86" s="16" t="s">
        <v>55</v>
      </c>
      <c r="C86" s="2"/>
      <c r="D86" s="46">
        <f>E53-D53</f>
        <v>-180</v>
      </c>
    </row>
    <row r="87" spans="2:4" x14ac:dyDescent="0.25">
      <c r="B87" s="17" t="s">
        <v>56</v>
      </c>
      <c r="C87" s="17"/>
      <c r="D87" s="17"/>
    </row>
    <row r="88" spans="2:4" x14ac:dyDescent="0.25">
      <c r="B88" s="2"/>
      <c r="C88" s="2"/>
    </row>
    <row r="89" spans="2:4" x14ac:dyDescent="0.25">
      <c r="B89" s="17" t="s">
        <v>57</v>
      </c>
      <c r="C89" s="2"/>
      <c r="D89" s="2"/>
    </row>
    <row r="90" spans="2:4" x14ac:dyDescent="0.25">
      <c r="B90" s="14" t="s">
        <v>97</v>
      </c>
      <c r="C90" s="2"/>
      <c r="D90" s="46">
        <f>D57-E57</f>
        <v>110</v>
      </c>
    </row>
    <row r="91" spans="2:4" x14ac:dyDescent="0.25">
      <c r="B91" s="14" t="s">
        <v>58</v>
      </c>
      <c r="C91" s="2"/>
    </row>
    <row r="92" spans="2:4" x14ac:dyDescent="0.25">
      <c r="B92" s="14" t="s">
        <v>59</v>
      </c>
      <c r="C92" s="2"/>
    </row>
    <row r="93" spans="2:4" x14ac:dyDescent="0.25">
      <c r="B93" s="14" t="s">
        <v>60</v>
      </c>
      <c r="C93" s="2"/>
      <c r="D93" s="17"/>
    </row>
    <row r="94" spans="2:4" ht="17.25" x14ac:dyDescent="0.4">
      <c r="B94" s="16" t="s">
        <v>61</v>
      </c>
      <c r="C94" s="2"/>
      <c r="D94" s="46">
        <f>-D13*D4/1000</f>
        <v>-168.75</v>
      </c>
    </row>
    <row r="95" spans="2:4" x14ac:dyDescent="0.25">
      <c r="B95" s="17" t="s">
        <v>62</v>
      </c>
      <c r="C95" s="2"/>
      <c r="D95" s="17"/>
    </row>
    <row r="96" spans="2:4" x14ac:dyDescent="0.25">
      <c r="B96" s="2"/>
      <c r="C96" s="2"/>
      <c r="D96" s="2"/>
    </row>
    <row r="97" spans="2:4" x14ac:dyDescent="0.25">
      <c r="B97" s="20" t="s">
        <v>63</v>
      </c>
      <c r="C97" s="20"/>
      <c r="D97" s="20"/>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topLeftCell="A23" zoomScale="130" zoomScaleNormal="130" workbookViewId="0">
      <selection activeCell="O6" sqref="O6"/>
    </sheetView>
  </sheetViews>
  <sheetFormatPr defaultRowHeight="15" x14ac:dyDescent="0.25"/>
  <cols>
    <col min="2" max="2" width="33.42578125" customWidth="1"/>
    <col min="3" max="14" width="12.140625" customWidth="1"/>
  </cols>
  <sheetData>
    <row r="19" spans="2:20" ht="15.75" thickBot="1" x14ac:dyDescent="0.3"/>
    <row r="20" spans="2:20" ht="22.5" customHeight="1" thickBot="1" x14ac:dyDescent="0.3">
      <c r="B20" s="171" t="s">
        <v>92</v>
      </c>
      <c r="C20" s="172"/>
      <c r="D20" s="172"/>
      <c r="E20" s="172"/>
      <c r="F20" s="172"/>
      <c r="G20" s="172"/>
      <c r="H20" s="172"/>
      <c r="I20" s="172"/>
      <c r="J20" s="172"/>
      <c r="K20" s="172"/>
      <c r="L20" s="172"/>
      <c r="M20" s="172"/>
      <c r="N20" s="173"/>
    </row>
    <row r="21" spans="2:20" ht="15.75" thickBot="1" x14ac:dyDescent="0.3"/>
    <row r="22" spans="2:20" ht="15.75" thickBot="1" x14ac:dyDescent="0.3">
      <c r="B22" s="29" t="s">
        <v>98</v>
      </c>
      <c r="C22" s="4"/>
      <c r="F22" s="40">
        <v>0.45</v>
      </c>
      <c r="H22" s="29" t="s">
        <v>99</v>
      </c>
      <c r="L22" s="39">
        <v>265000</v>
      </c>
    </row>
    <row r="23" spans="2:20" ht="15.75" thickBot="1" x14ac:dyDescent="0.3">
      <c r="B23" s="29" t="s">
        <v>100</v>
      </c>
      <c r="C23" s="4"/>
      <c r="F23" s="40">
        <v>0.15</v>
      </c>
      <c r="T23" t="s">
        <v>77</v>
      </c>
    </row>
    <row r="24" spans="2:20" ht="15.75" thickBot="1" x14ac:dyDescent="0.3">
      <c r="B24" s="29" t="s">
        <v>101</v>
      </c>
      <c r="C24" s="4"/>
      <c r="F24" s="40">
        <v>0.4</v>
      </c>
      <c r="H24" s="29" t="s">
        <v>102</v>
      </c>
      <c r="L24" s="34" t="s">
        <v>130</v>
      </c>
      <c r="T24" t="s">
        <v>129</v>
      </c>
    </row>
    <row r="25" spans="2:20" ht="15.75" thickBot="1" x14ac:dyDescent="0.3">
      <c r="B25" s="32"/>
      <c r="C25" s="4"/>
      <c r="T25" t="s">
        <v>130</v>
      </c>
    </row>
    <row r="26" spans="2:20" ht="15.75" thickBot="1" x14ac:dyDescent="0.3">
      <c r="B26" s="29" t="s">
        <v>103</v>
      </c>
      <c r="C26" s="4"/>
      <c r="F26" s="40">
        <v>0.23</v>
      </c>
      <c r="H26" s="29" t="s">
        <v>93</v>
      </c>
      <c r="L26" s="39">
        <v>25000</v>
      </c>
      <c r="T26" t="s">
        <v>131</v>
      </c>
    </row>
    <row r="27" spans="2:20" x14ac:dyDescent="0.25">
      <c r="C27" s="4"/>
    </row>
    <row r="28" spans="2:20" ht="17.25" x14ac:dyDescent="0.4">
      <c r="B28" s="32"/>
      <c r="C28" s="38" t="s">
        <v>73</v>
      </c>
      <c r="D28" s="38" t="s">
        <v>74</v>
      </c>
      <c r="E28" s="38" t="s">
        <v>75</v>
      </c>
      <c r="F28" s="38" t="s">
        <v>76</v>
      </c>
      <c r="G28" s="38" t="s">
        <v>77</v>
      </c>
      <c r="H28" s="38" t="s">
        <v>78</v>
      </c>
      <c r="I28" s="38" t="s">
        <v>79</v>
      </c>
      <c r="J28" s="38" t="s">
        <v>80</v>
      </c>
      <c r="K28" s="38" t="s">
        <v>81</v>
      </c>
      <c r="L28" s="38" t="s">
        <v>82</v>
      </c>
      <c r="M28" s="38" t="s">
        <v>83</v>
      </c>
      <c r="N28" s="38" t="s">
        <v>84</v>
      </c>
    </row>
    <row r="29" spans="2:20" x14ac:dyDescent="0.25">
      <c r="B29" s="29" t="s">
        <v>104</v>
      </c>
      <c r="C29" s="41">
        <v>13250</v>
      </c>
      <c r="D29" s="41">
        <v>15860</v>
      </c>
      <c r="E29" s="41">
        <v>17750</v>
      </c>
      <c r="F29" s="4">
        <v>18640</v>
      </c>
      <c r="G29" s="4">
        <v>19800</v>
      </c>
      <c r="H29" s="4">
        <v>21240</v>
      </c>
      <c r="I29" s="4">
        <v>17240</v>
      </c>
      <c r="J29" s="4">
        <v>16920</v>
      </c>
      <c r="K29" s="4">
        <v>17490</v>
      </c>
      <c r="L29" s="4">
        <v>19220</v>
      </c>
      <c r="M29" s="4">
        <v>23100</v>
      </c>
      <c r="N29" s="4">
        <v>25420</v>
      </c>
    </row>
    <row r="30" spans="2:20" x14ac:dyDescent="0.25">
      <c r="C30" s="4"/>
      <c r="D30" s="4"/>
      <c r="E30" s="4"/>
      <c r="F30" s="4"/>
      <c r="G30" s="4"/>
      <c r="H30" s="4"/>
      <c r="I30" s="4"/>
      <c r="J30" s="4"/>
      <c r="K30" s="4"/>
      <c r="L30" s="4"/>
      <c r="M30" s="4"/>
      <c r="N30" s="4"/>
    </row>
    <row r="31" spans="2:20" x14ac:dyDescent="0.25">
      <c r="B31" s="32" t="s">
        <v>105</v>
      </c>
      <c r="C31" s="4"/>
      <c r="D31" s="4"/>
      <c r="E31" s="4"/>
      <c r="F31" s="43">
        <f t="shared" ref="F31:N31" si="0">F29*Collect0+E29*Collect1+D29*Collect2</f>
        <v>17394.5</v>
      </c>
      <c r="G31" s="43">
        <f t="shared" si="0"/>
        <v>18806</v>
      </c>
      <c r="H31" s="43">
        <f t="shared" si="0"/>
        <v>19984</v>
      </c>
      <c r="I31" s="43">
        <f t="shared" si="0"/>
        <v>18864</v>
      </c>
      <c r="J31" s="43">
        <f t="shared" si="0"/>
        <v>18696</v>
      </c>
      <c r="K31" s="43">
        <f t="shared" si="0"/>
        <v>17304.5</v>
      </c>
      <c r="L31" s="43">
        <f t="shared" si="0"/>
        <v>18040.5</v>
      </c>
      <c r="M31" s="43">
        <f t="shared" si="0"/>
        <v>20274</v>
      </c>
      <c r="N31" s="43">
        <f t="shared" si="0"/>
        <v>22592</v>
      </c>
    </row>
    <row r="32" spans="2:20" x14ac:dyDescent="0.25">
      <c r="B32" s="32"/>
      <c r="C32" s="4"/>
      <c r="D32" s="4"/>
      <c r="E32" s="4"/>
      <c r="F32" s="4"/>
      <c r="G32" s="4"/>
      <c r="H32" s="4"/>
      <c r="I32" s="4"/>
      <c r="J32" s="4"/>
      <c r="K32" s="4"/>
      <c r="L32" s="4"/>
      <c r="M32" s="4"/>
      <c r="N32" s="4"/>
    </row>
    <row r="33" spans="2:15" x14ac:dyDescent="0.25">
      <c r="B33" s="32" t="s">
        <v>106</v>
      </c>
      <c r="C33" s="4"/>
      <c r="D33" s="4"/>
      <c r="E33" s="4"/>
      <c r="F33" s="43">
        <f>F29*$F$26</f>
        <v>4287.2</v>
      </c>
      <c r="G33" s="43">
        <f t="shared" ref="G33:N33" si="1">G29*$F$26</f>
        <v>4554</v>
      </c>
      <c r="H33" s="43">
        <f t="shared" si="1"/>
        <v>4885.2</v>
      </c>
      <c r="I33" s="43">
        <f t="shared" si="1"/>
        <v>3965.2000000000003</v>
      </c>
      <c r="J33" s="43">
        <f t="shared" si="1"/>
        <v>3891.6000000000004</v>
      </c>
      <c r="K33" s="43">
        <f t="shared" si="1"/>
        <v>4022.7000000000003</v>
      </c>
      <c r="L33" s="43">
        <f t="shared" si="1"/>
        <v>4420.6000000000004</v>
      </c>
      <c r="M33" s="43">
        <f t="shared" si="1"/>
        <v>5313</v>
      </c>
      <c r="N33" s="43">
        <f t="shared" si="1"/>
        <v>5846.6</v>
      </c>
    </row>
    <row r="34" spans="2:15" x14ac:dyDescent="0.25">
      <c r="B34" s="32" t="s">
        <v>2</v>
      </c>
      <c r="C34" s="4"/>
      <c r="D34" s="4"/>
      <c r="E34" s="4"/>
      <c r="F34" s="41">
        <v>3000</v>
      </c>
      <c r="G34" s="41">
        <v>3000</v>
      </c>
      <c r="H34" s="41">
        <v>3000</v>
      </c>
      <c r="I34" s="41">
        <v>3000</v>
      </c>
      <c r="J34" s="41">
        <v>3000</v>
      </c>
      <c r="K34" s="41">
        <v>3000</v>
      </c>
      <c r="L34" s="41">
        <v>3000</v>
      </c>
      <c r="M34" s="41">
        <v>3000</v>
      </c>
      <c r="N34" s="41">
        <v>3000</v>
      </c>
    </row>
    <row r="35" spans="2:15" x14ac:dyDescent="0.25">
      <c r="B35" s="32" t="s">
        <v>95</v>
      </c>
      <c r="C35" s="4"/>
      <c r="D35" s="4"/>
      <c r="E35" s="4"/>
      <c r="F35" s="41">
        <v>1250</v>
      </c>
      <c r="G35" s="41">
        <v>0</v>
      </c>
      <c r="H35" s="41">
        <v>0</v>
      </c>
      <c r="I35" s="41">
        <v>1250</v>
      </c>
      <c r="J35" s="41">
        <v>0</v>
      </c>
      <c r="K35" s="41">
        <v>0</v>
      </c>
      <c r="L35" s="41">
        <v>1250</v>
      </c>
      <c r="M35" s="41">
        <v>0</v>
      </c>
      <c r="N35" s="41">
        <v>0</v>
      </c>
    </row>
    <row r="36" spans="2:15" x14ac:dyDescent="0.25">
      <c r="B36" s="32" t="s">
        <v>107</v>
      </c>
      <c r="C36" s="4"/>
      <c r="D36" s="4"/>
      <c r="E36" s="4"/>
      <c r="F36" s="41">
        <v>0</v>
      </c>
      <c r="G36" s="43">
        <f>IF($L$24="May",$L$22,0)</f>
        <v>0</v>
      </c>
      <c r="H36" s="43">
        <f>IF($L$24="June",$L$22,0)</f>
        <v>0</v>
      </c>
      <c r="I36" s="43">
        <f>IF($L$24="July",$L$22,0)</f>
        <v>265000</v>
      </c>
      <c r="J36" s="43">
        <f>IF($L$24="August",$L$22,0)</f>
        <v>0</v>
      </c>
      <c r="K36" s="41">
        <v>0</v>
      </c>
      <c r="L36" s="41">
        <v>0</v>
      </c>
      <c r="M36" s="41">
        <v>0</v>
      </c>
      <c r="N36" s="41">
        <v>0</v>
      </c>
    </row>
    <row r="37" spans="2:15" ht="17.25" x14ac:dyDescent="0.4">
      <c r="B37" s="44" t="s">
        <v>96</v>
      </c>
      <c r="C37" s="4"/>
      <c r="D37" s="4"/>
      <c r="E37" s="4"/>
      <c r="F37" s="42">
        <v>850</v>
      </c>
      <c r="G37" s="42">
        <v>0</v>
      </c>
      <c r="H37" s="42">
        <v>0</v>
      </c>
      <c r="I37" s="42">
        <v>980</v>
      </c>
      <c r="J37" s="42">
        <v>0</v>
      </c>
      <c r="K37" s="42">
        <v>0</v>
      </c>
      <c r="L37" s="42">
        <v>1025</v>
      </c>
      <c r="M37" s="42">
        <v>0</v>
      </c>
      <c r="N37" s="42">
        <v>0</v>
      </c>
    </row>
    <row r="38" spans="2:15" x14ac:dyDescent="0.25">
      <c r="B38" s="32" t="s">
        <v>108</v>
      </c>
      <c r="C38" s="4"/>
      <c r="D38" s="4"/>
      <c r="E38" s="4"/>
      <c r="F38" s="41">
        <f>SUM(F33:F37)</f>
        <v>9387.2000000000007</v>
      </c>
      <c r="G38" s="41">
        <f t="shared" ref="G38:N38" si="2">SUM(G33:G37)</f>
        <v>7554</v>
      </c>
      <c r="H38" s="41">
        <f t="shared" si="2"/>
        <v>7885.2</v>
      </c>
      <c r="I38" s="41">
        <f t="shared" si="2"/>
        <v>274195.20000000001</v>
      </c>
      <c r="J38" s="41">
        <f t="shared" si="2"/>
        <v>6891.6</v>
      </c>
      <c r="K38" s="41">
        <f t="shared" si="2"/>
        <v>7022.7000000000007</v>
      </c>
      <c r="L38" s="41">
        <f t="shared" si="2"/>
        <v>9695.6</v>
      </c>
      <c r="M38" s="41">
        <f t="shared" si="2"/>
        <v>8313</v>
      </c>
      <c r="N38" s="41">
        <f t="shared" si="2"/>
        <v>8846.6</v>
      </c>
    </row>
    <row r="39" spans="2:15" ht="15.75" thickBot="1" x14ac:dyDescent="0.3">
      <c r="B39" s="28"/>
      <c r="C39" s="28"/>
      <c r="D39" s="28"/>
      <c r="E39" s="28"/>
      <c r="F39" s="28"/>
      <c r="G39" s="28"/>
      <c r="H39" s="28"/>
      <c r="I39" s="28"/>
      <c r="J39" s="28"/>
      <c r="K39" s="28"/>
      <c r="L39" s="28"/>
      <c r="M39" s="28"/>
      <c r="N39" s="28"/>
    </row>
    <row r="40" spans="2:15" ht="21.6" customHeight="1" thickBot="1" x14ac:dyDescent="0.3">
      <c r="B40" s="174" t="s">
        <v>94</v>
      </c>
      <c r="C40" s="174"/>
      <c r="D40" s="174"/>
      <c r="E40" s="174"/>
      <c r="F40" s="174"/>
      <c r="G40" s="174"/>
      <c r="H40" s="174"/>
      <c r="I40" s="174"/>
      <c r="J40" s="174"/>
      <c r="K40" s="174"/>
      <c r="L40" s="174"/>
      <c r="M40" s="174"/>
      <c r="N40" s="174"/>
    </row>
    <row r="41" spans="2:15" ht="21.6" customHeight="1" thickBot="1" x14ac:dyDescent="0.3">
      <c r="B41" s="36"/>
      <c r="C41" s="37"/>
      <c r="D41" s="37"/>
      <c r="E41" s="37" t="s">
        <v>75</v>
      </c>
      <c r="F41" s="37" t="s">
        <v>76</v>
      </c>
      <c r="G41" s="37" t="s">
        <v>77</v>
      </c>
      <c r="H41" s="37" t="s">
        <v>78</v>
      </c>
      <c r="I41" s="37" t="s">
        <v>79</v>
      </c>
      <c r="J41" s="37" t="s">
        <v>80</v>
      </c>
      <c r="K41" s="37" t="s">
        <v>81</v>
      </c>
      <c r="L41" s="37" t="s">
        <v>82</v>
      </c>
      <c r="M41" s="37" t="s">
        <v>83</v>
      </c>
      <c r="N41" s="37" t="s">
        <v>84</v>
      </c>
      <c r="O41" s="35"/>
    </row>
    <row r="42" spans="2:15" ht="19.5" customHeight="1" x14ac:dyDescent="0.25">
      <c r="B42" s="29" t="s">
        <v>85</v>
      </c>
      <c r="C42" s="29"/>
      <c r="D42" s="29"/>
      <c r="E42" s="29"/>
      <c r="F42" s="29">
        <f>E46</f>
        <v>20000</v>
      </c>
      <c r="G42" s="29">
        <f t="shared" ref="G42:N42" si="3">F46</f>
        <v>25000</v>
      </c>
      <c r="H42" s="29">
        <f t="shared" si="3"/>
        <v>25000</v>
      </c>
      <c r="I42" s="29">
        <f t="shared" si="3"/>
        <v>25000</v>
      </c>
      <c r="J42" s="29">
        <f t="shared" si="3"/>
        <v>25000</v>
      </c>
      <c r="K42" s="29">
        <f t="shared" si="3"/>
        <v>25000</v>
      </c>
      <c r="L42" s="29">
        <f t="shared" si="3"/>
        <v>25000</v>
      </c>
      <c r="M42" s="29">
        <f t="shared" si="3"/>
        <v>25000</v>
      </c>
      <c r="N42" s="29">
        <f t="shared" si="3"/>
        <v>25000</v>
      </c>
    </row>
    <row r="43" spans="2:15" ht="17.25" x14ac:dyDescent="0.4">
      <c r="B43" s="30" t="s">
        <v>86</v>
      </c>
      <c r="C43" s="31"/>
      <c r="D43" s="31"/>
      <c r="E43" s="31"/>
      <c r="F43" s="31">
        <f>F31-F38</f>
        <v>8007.2999999999993</v>
      </c>
      <c r="G43" s="31">
        <f t="shared" ref="G43:N43" si="4">G31-G38</f>
        <v>11252</v>
      </c>
      <c r="H43" s="31">
        <f t="shared" si="4"/>
        <v>12098.8</v>
      </c>
      <c r="I43" s="31">
        <f t="shared" si="4"/>
        <v>-255331.20000000001</v>
      </c>
      <c r="J43" s="31">
        <f t="shared" si="4"/>
        <v>11804.4</v>
      </c>
      <c r="K43" s="31">
        <f t="shared" si="4"/>
        <v>10281.799999999999</v>
      </c>
      <c r="L43" s="31">
        <f t="shared" si="4"/>
        <v>8344.9</v>
      </c>
      <c r="M43" s="31">
        <f t="shared" si="4"/>
        <v>11961</v>
      </c>
      <c r="N43" s="31">
        <f t="shared" si="4"/>
        <v>13745.4</v>
      </c>
    </row>
    <row r="44" spans="2:15" x14ac:dyDescent="0.25">
      <c r="B44" s="32" t="s">
        <v>87</v>
      </c>
      <c r="C44" s="32"/>
      <c r="D44" s="32"/>
      <c r="E44" s="32"/>
      <c r="F44" s="32">
        <f>F42+F43</f>
        <v>28007.3</v>
      </c>
      <c r="G44" s="32">
        <f t="shared" ref="G44:N44" si="5">G42+G43</f>
        <v>36252</v>
      </c>
      <c r="H44" s="32">
        <f t="shared" si="5"/>
        <v>37098.800000000003</v>
      </c>
      <c r="I44" s="32">
        <f t="shared" si="5"/>
        <v>-230331.2</v>
      </c>
      <c r="J44" s="32">
        <f t="shared" si="5"/>
        <v>36804.400000000001</v>
      </c>
      <c r="K44" s="32">
        <f t="shared" si="5"/>
        <v>35281.800000000003</v>
      </c>
      <c r="L44" s="32">
        <f t="shared" si="5"/>
        <v>33344.9</v>
      </c>
      <c r="M44" s="32">
        <f t="shared" si="5"/>
        <v>36961</v>
      </c>
      <c r="N44" s="32">
        <f t="shared" si="5"/>
        <v>38745.4</v>
      </c>
      <c r="O44" s="32"/>
    </row>
    <row r="45" spans="2:15" ht="17.25" x14ac:dyDescent="0.4">
      <c r="B45" s="30" t="s">
        <v>88</v>
      </c>
      <c r="C45" s="31"/>
      <c r="D45" s="31"/>
      <c r="E45" s="31"/>
      <c r="F45" s="31">
        <f>F46-F44</f>
        <v>-3007.2999999999993</v>
      </c>
      <c r="G45" s="31">
        <f t="shared" ref="G45:N45" si="6">G46-G44</f>
        <v>-11252</v>
      </c>
      <c r="H45" s="31">
        <f t="shared" si="6"/>
        <v>-12098.800000000003</v>
      </c>
      <c r="I45" s="31">
        <f t="shared" si="6"/>
        <v>255331.20000000001</v>
      </c>
      <c r="J45" s="31">
        <f t="shared" si="6"/>
        <v>-11804.400000000001</v>
      </c>
      <c r="K45" s="31">
        <f t="shared" si="6"/>
        <v>-10281.800000000003</v>
      </c>
      <c r="L45" s="31">
        <f t="shared" si="6"/>
        <v>-8344.9000000000015</v>
      </c>
      <c r="M45" s="31">
        <f t="shared" si="6"/>
        <v>-11961</v>
      </c>
      <c r="N45" s="31">
        <f t="shared" si="6"/>
        <v>-13745.400000000001</v>
      </c>
    </row>
    <row r="46" spans="2:15" x14ac:dyDescent="0.25">
      <c r="B46" s="32" t="s">
        <v>89</v>
      </c>
      <c r="C46" s="32"/>
      <c r="D46" s="32"/>
      <c r="E46" s="32">
        <v>20000</v>
      </c>
      <c r="F46" s="32">
        <f>L26</f>
        <v>25000</v>
      </c>
      <c r="G46" s="32">
        <f>F46</f>
        <v>25000</v>
      </c>
      <c r="H46" s="32">
        <f t="shared" ref="H46:N46" si="7">G46</f>
        <v>25000</v>
      </c>
      <c r="I46" s="32">
        <f t="shared" si="7"/>
        <v>25000</v>
      </c>
      <c r="J46" s="32">
        <f t="shared" si="7"/>
        <v>25000</v>
      </c>
      <c r="K46" s="32">
        <f t="shared" si="7"/>
        <v>25000</v>
      </c>
      <c r="L46" s="32">
        <f t="shared" si="7"/>
        <v>25000</v>
      </c>
      <c r="M46" s="32">
        <f t="shared" si="7"/>
        <v>25000</v>
      </c>
      <c r="N46" s="32">
        <f t="shared" si="7"/>
        <v>25000</v>
      </c>
      <c r="O46" s="32"/>
    </row>
    <row r="47" spans="2:15" ht="6.95" customHeight="1" thickBot="1" x14ac:dyDescent="0.3">
      <c r="B47" s="28"/>
      <c r="C47" s="28"/>
      <c r="D47" s="28"/>
      <c r="E47" s="28"/>
      <c r="F47" s="28"/>
      <c r="G47" s="28"/>
      <c r="H47" s="28"/>
      <c r="I47" s="28"/>
      <c r="J47" s="28"/>
      <c r="K47" s="28"/>
      <c r="L47" s="28"/>
      <c r="M47" s="28"/>
      <c r="N47" s="28"/>
    </row>
    <row r="48" spans="2:15" ht="17.25" x14ac:dyDescent="0.4">
      <c r="B48" s="33" t="s">
        <v>132</v>
      </c>
      <c r="C48" s="32"/>
      <c r="D48" s="32"/>
      <c r="E48" s="29"/>
      <c r="F48" s="29">
        <f>F45</f>
        <v>-3007.2999999999993</v>
      </c>
      <c r="G48" s="29">
        <f>F48+G45</f>
        <v>-14259.3</v>
      </c>
      <c r="H48" s="29">
        <f t="shared" ref="H48:N48" si="8">G48+H45</f>
        <v>-26358.100000000002</v>
      </c>
      <c r="I48" s="29">
        <f t="shared" si="8"/>
        <v>228973.1</v>
      </c>
      <c r="J48" s="29">
        <f t="shared" si="8"/>
        <v>217168.7</v>
      </c>
      <c r="K48" s="29">
        <f t="shared" si="8"/>
        <v>206886.90000000002</v>
      </c>
      <c r="L48" s="29">
        <f t="shared" si="8"/>
        <v>198542.00000000003</v>
      </c>
      <c r="M48" s="29">
        <f t="shared" si="8"/>
        <v>186581.00000000003</v>
      </c>
      <c r="N48" s="29">
        <f t="shared" si="8"/>
        <v>172835.60000000003</v>
      </c>
      <c r="O48" s="31"/>
    </row>
    <row r="49" spans="2:14" ht="15.75" thickBot="1" x14ac:dyDescent="0.3">
      <c r="B49" s="28"/>
      <c r="C49" s="28"/>
      <c r="D49" s="28"/>
      <c r="E49" s="29"/>
      <c r="F49" s="29"/>
      <c r="G49" s="29"/>
      <c r="H49" s="29"/>
      <c r="I49" s="29"/>
      <c r="J49" s="29"/>
      <c r="K49" s="29"/>
      <c r="L49" s="29"/>
      <c r="M49" s="29"/>
      <c r="N49" s="29"/>
    </row>
    <row r="50" spans="2:14" ht="19.5" thickBot="1" x14ac:dyDescent="0.3">
      <c r="B50" s="174" t="s">
        <v>109</v>
      </c>
      <c r="C50" s="174"/>
      <c r="D50" s="174"/>
      <c r="E50" s="174"/>
      <c r="F50" s="174"/>
      <c r="G50" s="174"/>
      <c r="H50" s="174"/>
      <c r="I50" s="174"/>
      <c r="J50" s="174"/>
      <c r="K50" s="174"/>
      <c r="L50" s="174"/>
      <c r="M50" s="174"/>
      <c r="N50" s="174"/>
    </row>
    <row r="51" spans="2:14" ht="15.75" thickBot="1" x14ac:dyDescent="0.3">
      <c r="B51" s="36"/>
      <c r="C51" s="37"/>
      <c r="D51" s="37"/>
      <c r="E51" s="37" t="s">
        <v>75</v>
      </c>
      <c r="F51" s="37" t="s">
        <v>76</v>
      </c>
      <c r="G51" s="37" t="s">
        <v>77</v>
      </c>
      <c r="H51" s="37" t="s">
        <v>78</v>
      </c>
      <c r="I51" s="37" t="s">
        <v>79</v>
      </c>
      <c r="J51" s="37" t="s">
        <v>80</v>
      </c>
      <c r="K51" s="37" t="s">
        <v>81</v>
      </c>
      <c r="L51" s="37" t="s">
        <v>82</v>
      </c>
      <c r="M51" s="37" t="s">
        <v>83</v>
      </c>
      <c r="N51" s="37" t="s">
        <v>84</v>
      </c>
    </row>
    <row r="52" spans="2:14" ht="24.95" customHeight="1" x14ac:dyDescent="0.25">
      <c r="B52" s="29" t="s">
        <v>90</v>
      </c>
      <c r="C52" s="29"/>
      <c r="D52" s="29"/>
      <c r="E52" s="29">
        <v>0</v>
      </c>
      <c r="F52" s="29">
        <f t="shared" ref="F52:N52" si="9">IF(F48&gt;0,F48,0)</f>
        <v>0</v>
      </c>
      <c r="G52" s="29">
        <f t="shared" si="9"/>
        <v>0</v>
      </c>
      <c r="H52" s="29">
        <f t="shared" si="9"/>
        <v>0</v>
      </c>
      <c r="I52" s="29">
        <f t="shared" si="9"/>
        <v>228973.1</v>
      </c>
      <c r="J52" s="29">
        <f t="shared" si="9"/>
        <v>217168.7</v>
      </c>
      <c r="K52" s="29">
        <f t="shared" si="9"/>
        <v>206886.90000000002</v>
      </c>
      <c r="L52" s="29">
        <f t="shared" si="9"/>
        <v>198542.00000000003</v>
      </c>
      <c r="M52" s="29">
        <f t="shared" si="9"/>
        <v>186581.00000000003</v>
      </c>
      <c r="N52" s="29">
        <f t="shared" si="9"/>
        <v>172835.60000000003</v>
      </c>
    </row>
    <row r="53" spans="2:14" x14ac:dyDescent="0.25">
      <c r="B53" s="29" t="s">
        <v>91</v>
      </c>
      <c r="C53" s="29"/>
      <c r="D53" s="29"/>
      <c r="E53" s="29">
        <v>0</v>
      </c>
      <c r="F53" s="29">
        <f t="shared" ref="F53:N53" si="10">IF(F48&lt;0,-F48,0)</f>
        <v>3007.2999999999993</v>
      </c>
      <c r="G53" s="29">
        <f t="shared" si="10"/>
        <v>14259.3</v>
      </c>
      <c r="H53" s="29">
        <f t="shared" si="10"/>
        <v>26358.100000000002</v>
      </c>
      <c r="I53" s="29">
        <f t="shared" si="10"/>
        <v>0</v>
      </c>
      <c r="J53" s="29">
        <f t="shared" si="10"/>
        <v>0</v>
      </c>
      <c r="K53" s="29">
        <f t="shared" si="10"/>
        <v>0</v>
      </c>
      <c r="L53" s="29">
        <f t="shared" si="10"/>
        <v>0</v>
      </c>
      <c r="M53" s="29">
        <f t="shared" si="10"/>
        <v>0</v>
      </c>
      <c r="N53" s="29">
        <f t="shared" si="10"/>
        <v>0</v>
      </c>
    </row>
    <row r="54" spans="2:14" ht="5.45" customHeight="1" thickBot="1" x14ac:dyDescent="0.3">
      <c r="B54" s="28"/>
      <c r="C54" s="28"/>
      <c r="D54" s="28"/>
      <c r="E54" s="28"/>
      <c r="F54" s="28"/>
      <c r="G54" s="28"/>
      <c r="H54" s="28"/>
      <c r="I54" s="28"/>
      <c r="J54" s="28"/>
      <c r="K54" s="28"/>
      <c r="L54" s="28"/>
      <c r="M54" s="28"/>
      <c r="N54" s="28"/>
    </row>
    <row r="55" spans="2:14" ht="5.45" customHeight="1" thickBot="1" x14ac:dyDescent="0.3">
      <c r="B55" s="28"/>
      <c r="C55" s="28"/>
      <c r="D55" s="28"/>
      <c r="E55" s="28"/>
      <c r="F55" s="28"/>
      <c r="G55" s="28"/>
      <c r="H55" s="28"/>
      <c r="I55" s="28"/>
      <c r="J55" s="28"/>
      <c r="K55" s="28"/>
      <c r="L55" s="28"/>
      <c r="M55" s="28"/>
      <c r="N55" s="28"/>
    </row>
  </sheetData>
  <scenarios current="1" show="1" sqref="F43:N43">
    <scenario name="Goo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6" numFmtId="9"/>
      <inputCells r="F23" val="0.15" numFmtId="9"/>
      <inputCells r="F24" val="0.25" numFmtId="9"/>
    </scenario>
    <scenario name="Normal" locked="1" count="3" user="Hawley, Del" comment="Created by Del on 9/22/2011_x000a_Modified by Del on 6/9/2012_x000a_Modified by D Hawley on 9/22/2013_x000a_Modified by Del on 6/9/2014_x000a_Modified by Del Hawley on 2/16/2015_x000a_Modified by Del Hawley on 6/12/2016_x000a_Modified by Hawley, Del on 7/2/2018_x000a_Modified by Del Hawley on">
      <inputCells r="F22" val="0.45" numFmtId="9"/>
      <inputCells r="F23" val="0.15" numFmtId="9"/>
      <inputCells r="F24" val="0.4" numFmtId="9"/>
    </scenario>
    <scenario name="Ba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_x000a_Modified by Hawle">
      <inputCells r="F22" val="0.3" numFmtId="9"/>
      <inputCells r="F23" val="0.1" numFmtId="9"/>
      <inputCells r="F24" val="0.6"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10C1-3940-4F53-97E8-AAE07D8D20A5}">
  <sheetPr>
    <outlinePr summaryBelow="0"/>
  </sheetPr>
  <dimension ref="B1:G21"/>
  <sheetViews>
    <sheetView showGridLines="0" workbookViewId="0">
      <selection activeCell="G32" sqref="G32"/>
    </sheetView>
  </sheetViews>
  <sheetFormatPr defaultRowHeight="15" outlineLevelRow="1" outlineLevelCol="1" x14ac:dyDescent="0.25"/>
  <cols>
    <col min="3" max="3" width="8.140625" bestFit="1" customWidth="1"/>
    <col min="4" max="7" width="13.140625" bestFit="1" customWidth="1" outlineLevel="1"/>
  </cols>
  <sheetData>
    <row r="1" spans="2:7" ht="15.75" thickBot="1" x14ac:dyDescent="0.3"/>
    <row r="2" spans="2:7" ht="15.75" x14ac:dyDescent="0.25">
      <c r="B2" s="156" t="s">
        <v>148</v>
      </c>
      <c r="C2" s="156"/>
      <c r="D2" s="49"/>
      <c r="E2" s="49"/>
      <c r="F2" s="49"/>
      <c r="G2" s="49"/>
    </row>
    <row r="3" spans="2:7" ht="15.75" collapsed="1" x14ac:dyDescent="0.25">
      <c r="B3" s="155"/>
      <c r="C3" s="155"/>
      <c r="D3" s="50" t="s">
        <v>150</v>
      </c>
      <c r="E3" s="50" t="s">
        <v>145</v>
      </c>
      <c r="F3" s="50" t="s">
        <v>146</v>
      </c>
      <c r="G3" s="50" t="s">
        <v>147</v>
      </c>
    </row>
    <row r="4" spans="2:7" ht="236.25" hidden="1" outlineLevel="1" x14ac:dyDescent="0.25">
      <c r="B4" s="157"/>
      <c r="C4" s="157"/>
      <c r="D4" s="147"/>
      <c r="E4" s="153" t="s">
        <v>210</v>
      </c>
      <c r="F4" s="153" t="s">
        <v>211</v>
      </c>
      <c r="G4" s="153" t="s">
        <v>210</v>
      </c>
    </row>
    <row r="5" spans="2:7" x14ac:dyDescent="0.25">
      <c r="B5" s="158" t="s">
        <v>149</v>
      </c>
      <c r="C5" s="158"/>
      <c r="D5" s="151"/>
      <c r="E5" s="151"/>
      <c r="F5" s="151"/>
      <c r="G5" s="151"/>
    </row>
    <row r="6" spans="2:7" outlineLevel="1" x14ac:dyDescent="0.25">
      <c r="B6" s="157"/>
      <c r="C6" s="157" t="s">
        <v>133</v>
      </c>
      <c r="D6" s="148">
        <v>0.45</v>
      </c>
      <c r="E6" s="152">
        <v>0.6</v>
      </c>
      <c r="F6" s="152">
        <v>0.45</v>
      </c>
      <c r="G6" s="152">
        <v>0.3</v>
      </c>
    </row>
    <row r="7" spans="2:7" outlineLevel="1" x14ac:dyDescent="0.25">
      <c r="B7" s="157"/>
      <c r="C7" s="157" t="s">
        <v>134</v>
      </c>
      <c r="D7" s="148">
        <v>0.15</v>
      </c>
      <c r="E7" s="152">
        <v>0.15</v>
      </c>
      <c r="F7" s="152">
        <v>0.15</v>
      </c>
      <c r="G7" s="152">
        <v>0.1</v>
      </c>
    </row>
    <row r="8" spans="2:7" outlineLevel="1" x14ac:dyDescent="0.25">
      <c r="B8" s="157"/>
      <c r="C8" s="157" t="s">
        <v>135</v>
      </c>
      <c r="D8" s="148">
        <v>0.4</v>
      </c>
      <c r="E8" s="152">
        <v>0.25</v>
      </c>
      <c r="F8" s="152">
        <v>0.4</v>
      </c>
      <c r="G8" s="152">
        <v>0.6</v>
      </c>
    </row>
    <row r="9" spans="2:7" x14ac:dyDescent="0.25">
      <c r="B9" s="158" t="s">
        <v>151</v>
      </c>
      <c r="C9" s="158"/>
      <c r="D9" s="151"/>
      <c r="E9" s="151"/>
      <c r="F9" s="151"/>
      <c r="G9" s="151"/>
    </row>
    <row r="10" spans="2:7" outlineLevel="1" x14ac:dyDescent="0.25">
      <c r="B10" s="157"/>
      <c r="C10" s="157" t="s">
        <v>136</v>
      </c>
      <c r="D10" s="149">
        <v>8007.3</v>
      </c>
      <c r="E10" s="149">
        <v>8424.2999999999993</v>
      </c>
      <c r="F10" s="149">
        <v>8007.3</v>
      </c>
      <c r="G10" s="149">
        <v>7495.8</v>
      </c>
    </row>
    <row r="11" spans="2:7" outlineLevel="1" x14ac:dyDescent="0.25">
      <c r="B11" s="157"/>
      <c r="C11" s="157" t="s">
        <v>137</v>
      </c>
      <c r="D11" s="149">
        <v>11252</v>
      </c>
      <c r="E11" s="149">
        <v>11559.5</v>
      </c>
      <c r="F11" s="149">
        <v>11252</v>
      </c>
      <c r="G11" s="149">
        <v>10900</v>
      </c>
    </row>
    <row r="12" spans="2:7" outlineLevel="1" x14ac:dyDescent="0.25">
      <c r="B12" s="157"/>
      <c r="C12" s="157" t="s">
        <v>138</v>
      </c>
      <c r="D12" s="149">
        <v>12098.8</v>
      </c>
      <c r="E12" s="149">
        <v>12488.8</v>
      </c>
      <c r="F12" s="149">
        <v>12098.8</v>
      </c>
      <c r="G12" s="149">
        <v>11650.8</v>
      </c>
    </row>
    <row r="13" spans="2:7" outlineLevel="1" x14ac:dyDescent="0.25">
      <c r="B13" s="157"/>
      <c r="C13" s="157" t="s">
        <v>139</v>
      </c>
      <c r="D13" s="149">
        <v>-255331.20000000001</v>
      </c>
      <c r="E13" s="149">
        <v>-255715.20000000001</v>
      </c>
      <c r="F13" s="149">
        <v>-255331.20000000001</v>
      </c>
      <c r="G13" s="149">
        <v>-255019.2</v>
      </c>
    </row>
    <row r="14" spans="2:7" outlineLevel="1" x14ac:dyDescent="0.25">
      <c r="B14" s="157"/>
      <c r="C14" s="157" t="s">
        <v>140</v>
      </c>
      <c r="D14" s="149">
        <v>11804.4</v>
      </c>
      <c r="E14" s="149">
        <v>11156.4</v>
      </c>
      <c r="F14" s="149">
        <v>11804.4</v>
      </c>
      <c r="G14" s="149">
        <v>12652.4</v>
      </c>
    </row>
    <row r="15" spans="2:7" outlineLevel="1" x14ac:dyDescent="0.25">
      <c r="B15" s="157"/>
      <c r="C15" s="157" t="s">
        <v>141</v>
      </c>
      <c r="D15" s="149">
        <v>10281.799999999999</v>
      </c>
      <c r="E15" s="149">
        <v>10319.299999999999</v>
      </c>
      <c r="F15" s="149">
        <v>10281.799999999999</v>
      </c>
      <c r="G15" s="149">
        <v>10260.299999999999</v>
      </c>
    </row>
    <row r="16" spans="2:7" outlineLevel="1" x14ac:dyDescent="0.25">
      <c r="B16" s="157"/>
      <c r="C16" s="157" t="s">
        <v>142</v>
      </c>
      <c r="D16" s="149">
        <v>8344.9</v>
      </c>
      <c r="E16" s="149">
        <v>8689.9</v>
      </c>
      <c r="F16" s="149">
        <v>8344.9</v>
      </c>
      <c r="G16" s="149">
        <v>7971.4</v>
      </c>
    </row>
    <row r="17" spans="2:7" outlineLevel="1" x14ac:dyDescent="0.25">
      <c r="B17" s="157"/>
      <c r="C17" s="157" t="s">
        <v>143</v>
      </c>
      <c r="D17" s="149">
        <v>11961</v>
      </c>
      <c r="E17" s="149">
        <v>12802.5</v>
      </c>
      <c r="F17" s="149">
        <v>11961</v>
      </c>
      <c r="G17" s="149">
        <v>11033</v>
      </c>
    </row>
    <row r="18" spans="2:7" ht="15.75" outlineLevel="1" thickBot="1" x14ac:dyDescent="0.3">
      <c r="B18" s="159"/>
      <c r="C18" s="159" t="s">
        <v>144</v>
      </c>
      <c r="D18" s="150">
        <v>13745.4</v>
      </c>
      <c r="E18" s="150">
        <v>14675.4</v>
      </c>
      <c r="F18" s="150">
        <v>13745.4</v>
      </c>
      <c r="G18" s="150">
        <v>12621.4</v>
      </c>
    </row>
    <row r="19" spans="2:7" x14ac:dyDescent="0.25">
      <c r="B19" t="s">
        <v>152</v>
      </c>
    </row>
    <row r="20" spans="2:7" x14ac:dyDescent="0.25">
      <c r="B20" t="s">
        <v>153</v>
      </c>
    </row>
    <row r="21" spans="2:7" x14ac:dyDescent="0.25">
      <c r="B21" t="s">
        <v>154</v>
      </c>
    </row>
  </sheetData>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showGridLines="0" workbookViewId="0">
      <selection activeCell="G40" sqref="G40"/>
    </sheetView>
  </sheetViews>
  <sheetFormatPr defaultRowHeight="15" x14ac:dyDescent="0.25"/>
  <cols>
    <col min="10" max="10" width="17.28515625" customWidth="1"/>
    <col min="11" max="19" width="12" customWidth="1"/>
  </cols>
  <sheetData>
    <row r="5" spans="10:19" x14ac:dyDescent="0.25">
      <c r="K5" t="s">
        <v>155</v>
      </c>
      <c r="L5" t="s">
        <v>156</v>
      </c>
      <c r="M5" t="s">
        <v>157</v>
      </c>
      <c r="N5" t="s">
        <v>158</v>
      </c>
      <c r="O5" t="s">
        <v>159</v>
      </c>
      <c r="P5" t="s">
        <v>160</v>
      </c>
      <c r="Q5" t="s">
        <v>161</v>
      </c>
      <c r="R5" t="s">
        <v>162</v>
      </c>
      <c r="S5" t="s">
        <v>163</v>
      </c>
    </row>
    <row r="6" spans="10:19" x14ac:dyDescent="0.25">
      <c r="J6" t="s">
        <v>165</v>
      </c>
      <c r="K6" s="29">
        <f>-'Prob 2 - 25 Pts '!F52</f>
        <v>0</v>
      </c>
      <c r="L6" s="29">
        <f>-'Prob 2 - 25 Pts '!G52</f>
        <v>0</v>
      </c>
      <c r="M6" s="29">
        <f>-'Prob 2 - 25 Pts '!H52</f>
        <v>0</v>
      </c>
      <c r="N6" s="29">
        <f>-'Prob 2 - 25 Pts '!I52</f>
        <v>-228973.1</v>
      </c>
      <c r="O6" s="29">
        <f>-'Prob 2 - 25 Pts '!J52</f>
        <v>-217168.7</v>
      </c>
      <c r="P6" s="29">
        <f>-'Prob 2 - 25 Pts '!K52</f>
        <v>-206886.90000000002</v>
      </c>
      <c r="Q6" s="29">
        <f>-'Prob 2 - 25 Pts '!L52</f>
        <v>-198542.00000000003</v>
      </c>
      <c r="R6" s="29">
        <f>-'Prob 2 - 25 Pts '!M52</f>
        <v>-186581.00000000003</v>
      </c>
      <c r="S6" s="29">
        <f>-'Prob 2 - 25 Pts '!N52</f>
        <v>-172835.60000000003</v>
      </c>
    </row>
    <row r="7" spans="10:19" x14ac:dyDescent="0.25">
      <c r="J7" t="s">
        <v>164</v>
      </c>
      <c r="K7" s="29">
        <f>'Prob 2 - 25 Pts '!F53</f>
        <v>3007.2999999999993</v>
      </c>
      <c r="L7" s="29">
        <f>'Prob 2 - 25 Pts '!G53</f>
        <v>14259.3</v>
      </c>
      <c r="M7" s="29">
        <f>'Prob 2 - 25 Pts '!H53</f>
        <v>26358.100000000002</v>
      </c>
      <c r="N7" s="29">
        <f>'Prob 2 - 25 Pts '!I53</f>
        <v>0</v>
      </c>
      <c r="O7" s="29">
        <f>'Prob 2 - 25 Pts '!J53</f>
        <v>0</v>
      </c>
      <c r="P7" s="29">
        <f>'Prob 2 - 25 Pts '!K53</f>
        <v>0</v>
      </c>
      <c r="Q7" s="29">
        <f>'Prob 2 - 25 Pts '!L53</f>
        <v>0</v>
      </c>
      <c r="R7" s="29">
        <f>'Prob 2 - 25 Pts '!M53</f>
        <v>0</v>
      </c>
      <c r="S7" s="29">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3"/>
  <sheetViews>
    <sheetView showGridLines="0" zoomScale="130" zoomScaleNormal="130" workbookViewId="0">
      <selection activeCell="I10" sqref="I10"/>
    </sheetView>
  </sheetViews>
  <sheetFormatPr defaultColWidth="9.140625" defaultRowHeight="15" x14ac:dyDescent="0.25"/>
  <cols>
    <col min="1" max="1" width="9.140625" style="9"/>
    <col min="2" max="3" width="11.5703125" style="9" customWidth="1"/>
    <col min="4" max="4" width="13.7109375" style="9" customWidth="1"/>
    <col min="5" max="5" width="14.28515625" style="9" customWidth="1"/>
    <col min="6" max="16384" width="9.140625" style="9"/>
  </cols>
  <sheetData>
    <row r="3" spans="2:5" ht="86.25" customHeight="1" x14ac:dyDescent="0.25"/>
    <row r="5" spans="2:5" ht="15.75" thickBot="1" x14ac:dyDescent="0.3"/>
    <row r="6" spans="2:5" ht="52.5" customHeight="1" thickBot="1" x14ac:dyDescent="0.3">
      <c r="B6" s="90" t="s">
        <v>173</v>
      </c>
      <c r="C6" s="91" t="s">
        <v>179</v>
      </c>
      <c r="D6" s="91" t="s">
        <v>174</v>
      </c>
      <c r="E6" s="92" t="s">
        <v>175</v>
      </c>
    </row>
    <row r="7" spans="2:5" x14ac:dyDescent="0.25">
      <c r="B7" s="87">
        <v>2000</v>
      </c>
      <c r="C7" s="88">
        <v>9.44</v>
      </c>
      <c r="D7" s="89"/>
      <c r="E7" s="89"/>
    </row>
    <row r="8" spans="2:5" x14ac:dyDescent="0.25">
      <c r="B8" s="83">
        <v>2001</v>
      </c>
      <c r="C8" s="81">
        <v>9.85</v>
      </c>
      <c r="D8" s="82">
        <f>C8/C7-1</f>
        <v>4.3432203389830448E-2</v>
      </c>
      <c r="E8" s="84">
        <f>1+D8</f>
        <v>1.0434322033898304</v>
      </c>
    </row>
    <row r="9" spans="2:5" x14ac:dyDescent="0.25">
      <c r="B9" s="83">
        <v>2002</v>
      </c>
      <c r="C9" s="81">
        <v>10.25</v>
      </c>
      <c r="D9" s="82">
        <f t="shared" ref="D9:D19" si="0">C9/C8-1</f>
        <v>4.0609137055837685E-2</v>
      </c>
      <c r="E9" s="84">
        <f t="shared" ref="E9:E19" si="1">1+D9</f>
        <v>1.0406091370558377</v>
      </c>
    </row>
    <row r="10" spans="2:5" x14ac:dyDescent="0.25">
      <c r="B10" s="83">
        <v>2003</v>
      </c>
      <c r="C10" s="81">
        <v>11.75</v>
      </c>
      <c r="D10" s="82">
        <f t="shared" si="0"/>
        <v>0.14634146341463405</v>
      </c>
      <c r="E10" s="84">
        <f t="shared" si="1"/>
        <v>1.1463414634146341</v>
      </c>
    </row>
    <row r="11" spans="2:5" x14ac:dyDescent="0.25">
      <c r="B11" s="83">
        <v>2004</v>
      </c>
      <c r="C11" s="81">
        <v>6.65</v>
      </c>
      <c r="D11" s="82">
        <f t="shared" si="0"/>
        <v>-0.43404255319148932</v>
      </c>
      <c r="E11" s="84">
        <f t="shared" si="1"/>
        <v>0.56595744680851068</v>
      </c>
    </row>
    <row r="12" spans="2:5" x14ac:dyDescent="0.25">
      <c r="B12" s="83">
        <v>2005</v>
      </c>
      <c r="C12" s="81">
        <v>10.25</v>
      </c>
      <c r="D12" s="82">
        <f t="shared" si="0"/>
        <v>0.54135338345864659</v>
      </c>
      <c r="E12" s="84">
        <f t="shared" si="1"/>
        <v>1.5413533834586466</v>
      </c>
    </row>
    <row r="13" spans="2:5" x14ac:dyDescent="0.25">
      <c r="B13" s="83">
        <v>2006</v>
      </c>
      <c r="C13" s="81">
        <v>11</v>
      </c>
      <c r="D13" s="82">
        <f t="shared" si="0"/>
        <v>7.3170731707317138E-2</v>
      </c>
      <c r="E13" s="84">
        <f t="shared" si="1"/>
        <v>1.0731707317073171</v>
      </c>
    </row>
    <row r="14" spans="2:5" x14ac:dyDescent="0.25">
      <c r="B14" s="83">
        <v>2007</v>
      </c>
      <c r="C14" s="81">
        <v>12.2</v>
      </c>
      <c r="D14" s="82">
        <f t="shared" si="0"/>
        <v>0.10909090909090913</v>
      </c>
      <c r="E14" s="84">
        <f t="shared" si="1"/>
        <v>1.1090909090909091</v>
      </c>
    </row>
    <row r="15" spans="2:5" x14ac:dyDescent="0.25">
      <c r="B15" s="83">
        <v>2008</v>
      </c>
      <c r="C15" s="81">
        <v>12.95</v>
      </c>
      <c r="D15" s="82">
        <f t="shared" si="0"/>
        <v>6.1475409836065475E-2</v>
      </c>
      <c r="E15" s="84">
        <f t="shared" si="1"/>
        <v>1.0614754098360655</v>
      </c>
    </row>
    <row r="16" spans="2:5" x14ac:dyDescent="0.25">
      <c r="B16" s="83">
        <v>2009</v>
      </c>
      <c r="C16" s="81">
        <v>6.25</v>
      </c>
      <c r="D16" s="82">
        <f t="shared" si="0"/>
        <v>-0.51737451737451734</v>
      </c>
      <c r="E16" s="84">
        <f t="shared" si="1"/>
        <v>0.48262548262548266</v>
      </c>
    </row>
    <row r="17" spans="2:5" x14ac:dyDescent="0.25">
      <c r="B17" s="83">
        <v>2010</v>
      </c>
      <c r="C17" s="81">
        <v>6.5</v>
      </c>
      <c r="D17" s="82">
        <f t="shared" si="0"/>
        <v>4.0000000000000036E-2</v>
      </c>
      <c r="E17" s="84">
        <f t="shared" si="1"/>
        <v>1.04</v>
      </c>
    </row>
    <row r="18" spans="2:5" x14ac:dyDescent="0.25">
      <c r="B18" s="83">
        <v>2011</v>
      </c>
      <c r="C18" s="81">
        <v>7.85</v>
      </c>
      <c r="D18" s="82">
        <f t="shared" si="0"/>
        <v>0.20769230769230762</v>
      </c>
      <c r="E18" s="84">
        <f t="shared" si="1"/>
        <v>1.2076923076923076</v>
      </c>
    </row>
    <row r="19" spans="2:5" x14ac:dyDescent="0.25">
      <c r="B19" s="83">
        <v>2012</v>
      </c>
      <c r="C19" s="81">
        <v>8.6199999999999992</v>
      </c>
      <c r="D19" s="82">
        <f t="shared" si="0"/>
        <v>9.8089171974522271E-2</v>
      </c>
      <c r="E19" s="84">
        <f t="shared" si="1"/>
        <v>1.0980891719745223</v>
      </c>
    </row>
    <row r="20" spans="2:5" x14ac:dyDescent="0.25">
      <c r="B20" s="137">
        <v>2013</v>
      </c>
      <c r="C20" s="138">
        <v>9.77</v>
      </c>
      <c r="D20" s="82">
        <f t="shared" ref="D20" si="2">C20/C19-1</f>
        <v>0.13341067285382846</v>
      </c>
      <c r="E20" s="84">
        <f t="shared" ref="E20" si="3">1+D20</f>
        <v>1.1334106728538285</v>
      </c>
    </row>
    <row r="21" spans="2:5" x14ac:dyDescent="0.25">
      <c r="B21" s="137">
        <v>2014</v>
      </c>
      <c r="C21" s="138">
        <v>12.5</v>
      </c>
      <c r="D21" s="82">
        <f t="shared" ref="D21:D26" si="4">C21/C20-1</f>
        <v>0.27942681678607983</v>
      </c>
      <c r="E21" s="84">
        <f t="shared" ref="E21:E26" si="5">1+D21</f>
        <v>1.2794268167860798</v>
      </c>
    </row>
    <row r="22" spans="2:5" x14ac:dyDescent="0.25">
      <c r="B22" s="137">
        <v>2015</v>
      </c>
      <c r="C22" s="138">
        <v>10.25</v>
      </c>
      <c r="D22" s="82">
        <f t="shared" si="4"/>
        <v>-0.18000000000000005</v>
      </c>
      <c r="E22" s="84">
        <f t="shared" si="5"/>
        <v>0.82</v>
      </c>
    </row>
    <row r="23" spans="2:5" x14ac:dyDescent="0.25">
      <c r="B23" s="137">
        <v>2016</v>
      </c>
      <c r="C23" s="138">
        <v>15.6</v>
      </c>
      <c r="D23" s="82">
        <f t="shared" si="4"/>
        <v>0.52195121951219514</v>
      </c>
      <c r="E23" s="84">
        <f t="shared" si="5"/>
        <v>1.5219512195121951</v>
      </c>
    </row>
    <row r="24" spans="2:5" x14ac:dyDescent="0.25">
      <c r="B24" s="137">
        <v>2017</v>
      </c>
      <c r="C24" s="138">
        <v>16.98</v>
      </c>
      <c r="D24" s="82">
        <f t="shared" si="4"/>
        <v>8.8461538461538591E-2</v>
      </c>
      <c r="E24" s="84">
        <f t="shared" si="5"/>
        <v>1.0884615384615386</v>
      </c>
    </row>
    <row r="25" spans="2:5" x14ac:dyDescent="0.25">
      <c r="B25" s="137">
        <v>2018</v>
      </c>
      <c r="C25" s="138">
        <v>18.420000000000002</v>
      </c>
      <c r="D25" s="82">
        <f t="shared" si="4"/>
        <v>8.4805653710247508E-2</v>
      </c>
      <c r="E25" s="84">
        <f t="shared" si="5"/>
        <v>1.0848056537102475</v>
      </c>
    </row>
    <row r="26" spans="2:5" ht="15.75" thickBot="1" x14ac:dyDescent="0.3">
      <c r="B26" s="85">
        <v>2019</v>
      </c>
      <c r="C26" s="86">
        <v>21.05</v>
      </c>
      <c r="D26" s="82">
        <f t="shared" si="4"/>
        <v>0.14277958740499441</v>
      </c>
      <c r="E26" s="84">
        <f t="shared" si="5"/>
        <v>1.1427795874049944</v>
      </c>
    </row>
    <row r="27" spans="2:5" ht="8.25" customHeight="1" x14ac:dyDescent="0.25">
      <c r="B27" s="93"/>
      <c r="C27" s="94"/>
      <c r="D27" s="94"/>
      <c r="E27" s="95"/>
    </row>
    <row r="28" spans="2:5" x14ac:dyDescent="0.25">
      <c r="B28" s="101" t="s">
        <v>176</v>
      </c>
      <c r="E28" s="96"/>
    </row>
    <row r="29" spans="2:5" ht="3.75" customHeight="1" thickBot="1" x14ac:dyDescent="0.3">
      <c r="B29" s="97"/>
      <c r="C29" s="175"/>
      <c r="D29" s="175"/>
      <c r="E29" s="96"/>
    </row>
    <row r="30" spans="2:5" ht="15.75" thickBot="1" x14ac:dyDescent="0.3">
      <c r="B30" s="97"/>
      <c r="C30" s="102">
        <f>GEOMEAN(E8:E26)-1</f>
        <v>4.3111015999826252E-2</v>
      </c>
      <c r="D30" s="9" t="s">
        <v>177</v>
      </c>
      <c r="E30" s="96"/>
    </row>
    <row r="31" spans="2:5" ht="6.75" customHeight="1" thickBot="1" x14ac:dyDescent="0.3">
      <c r="B31" s="97"/>
      <c r="C31" s="103"/>
      <c r="E31" s="96"/>
    </row>
    <row r="32" spans="2:5" ht="15.75" thickBot="1" x14ac:dyDescent="0.3">
      <c r="B32" s="97"/>
      <c r="C32" s="102">
        <f>(PRODUCT(E8:E26)^(1/19))-1</f>
        <v>4.3111015999826252E-2</v>
      </c>
      <c r="D32" s="9" t="s">
        <v>178</v>
      </c>
      <c r="E32" s="96"/>
    </row>
    <row r="33" spans="2:5" ht="6.75" customHeight="1" thickBot="1" x14ac:dyDescent="0.3">
      <c r="B33" s="98"/>
      <c r="C33" s="99"/>
      <c r="D33" s="99"/>
      <c r="E33" s="100"/>
    </row>
  </sheetData>
  <mergeCells count="1">
    <mergeCell ref="C29:D2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7"/>
  <sheetViews>
    <sheetView zoomScaleNormal="100" workbookViewId="0">
      <selection activeCell="D37" sqref="D37"/>
    </sheetView>
  </sheetViews>
  <sheetFormatPr defaultColWidth="9.140625" defaultRowHeight="15" x14ac:dyDescent="0.25"/>
  <cols>
    <col min="1" max="1" width="4.5703125" style="104" customWidth="1"/>
    <col min="2" max="2" width="35.7109375" style="104" customWidth="1"/>
    <col min="3" max="4" width="18.7109375" style="104" customWidth="1"/>
    <col min="5" max="16384" width="9.140625" style="104"/>
  </cols>
  <sheetData>
    <row r="1" spans="2:4" ht="48" customHeight="1" x14ac:dyDescent="0.25"/>
    <row r="10" spans="2:4" ht="15.75" thickBot="1" x14ac:dyDescent="0.3"/>
    <row r="11" spans="2:4" s="105" customFormat="1" ht="30" customHeight="1" x14ac:dyDescent="0.25">
      <c r="B11" s="176" t="s">
        <v>166</v>
      </c>
      <c r="C11" s="177"/>
      <c r="D11" s="178"/>
    </row>
    <row r="12" spans="2:4" s="105" customFormat="1" ht="30" customHeight="1" x14ac:dyDescent="0.25">
      <c r="B12" s="179" t="s">
        <v>167</v>
      </c>
      <c r="C12" s="180"/>
      <c r="D12" s="181"/>
    </row>
    <row r="13" spans="2:4" s="105" customFormat="1" ht="30" customHeight="1" thickBot="1" x14ac:dyDescent="0.3">
      <c r="B13" s="182" t="s">
        <v>206</v>
      </c>
      <c r="C13" s="183"/>
      <c r="D13" s="184"/>
    </row>
    <row r="14" spans="2:4" ht="50.1" customHeight="1" thickBot="1" x14ac:dyDescent="0.35">
      <c r="B14" s="106"/>
      <c r="C14" s="130" t="s">
        <v>207</v>
      </c>
      <c r="D14" s="131" t="s">
        <v>205</v>
      </c>
    </row>
    <row r="15" spans="2:4" ht="17.25" customHeight="1" x14ac:dyDescent="0.25">
      <c r="B15" s="107" t="s">
        <v>11</v>
      </c>
      <c r="C15" s="117">
        <v>3850000</v>
      </c>
      <c r="D15" s="108">
        <v>3432000</v>
      </c>
    </row>
    <row r="16" spans="2:4" ht="17.25" x14ac:dyDescent="0.4">
      <c r="B16" s="109" t="s">
        <v>168</v>
      </c>
      <c r="C16" s="53">
        <v>3250000</v>
      </c>
      <c r="D16" s="54">
        <v>2864000</v>
      </c>
    </row>
    <row r="17" spans="2:7" x14ac:dyDescent="0.25">
      <c r="B17" s="110" t="s">
        <v>13</v>
      </c>
      <c r="C17" s="118">
        <v>600000</v>
      </c>
      <c r="D17" s="111">
        <v>568000</v>
      </c>
    </row>
    <row r="18" spans="2:7" x14ac:dyDescent="0.25">
      <c r="B18" s="112" t="s">
        <v>1</v>
      </c>
      <c r="C18" s="52">
        <v>330300</v>
      </c>
      <c r="D18" s="51">
        <v>240000</v>
      </c>
    </row>
    <row r="19" spans="2:7" x14ac:dyDescent="0.25">
      <c r="B19" s="112" t="s">
        <v>2</v>
      </c>
      <c r="C19" s="52">
        <v>100000</v>
      </c>
      <c r="D19" s="51">
        <v>100000</v>
      </c>
    </row>
    <row r="20" spans="2:7" ht="19.5" customHeight="1" x14ac:dyDescent="0.4">
      <c r="B20" s="109" t="s">
        <v>45</v>
      </c>
      <c r="C20" s="53">
        <v>20000</v>
      </c>
      <c r="D20" s="54">
        <v>18900</v>
      </c>
    </row>
    <row r="21" spans="2:7" x14ac:dyDescent="0.25">
      <c r="B21" s="110" t="s">
        <v>14</v>
      </c>
      <c r="C21" s="118">
        <v>149700</v>
      </c>
      <c r="D21" s="111">
        <v>209100</v>
      </c>
    </row>
    <row r="22" spans="2:7" ht="17.25" x14ac:dyDescent="0.4">
      <c r="B22" s="109" t="s">
        <v>4</v>
      </c>
      <c r="C22" s="53">
        <v>76000</v>
      </c>
      <c r="D22" s="54">
        <v>62500</v>
      </c>
    </row>
    <row r="23" spans="2:7" x14ac:dyDescent="0.25">
      <c r="B23" s="110" t="s">
        <v>15</v>
      </c>
      <c r="C23" s="118">
        <v>73700</v>
      </c>
      <c r="D23" s="111">
        <v>146600</v>
      </c>
      <c r="F23" s="29"/>
      <c r="G23" s="29"/>
    </row>
    <row r="24" spans="2:7" ht="17.25" x14ac:dyDescent="0.4">
      <c r="B24" s="109" t="s">
        <v>16</v>
      </c>
      <c r="C24" s="53">
        <v>29480</v>
      </c>
      <c r="D24" s="54">
        <v>58640</v>
      </c>
    </row>
    <row r="25" spans="2:7" ht="17.25" x14ac:dyDescent="0.4">
      <c r="B25" s="113" t="s">
        <v>17</v>
      </c>
      <c r="C25" s="119">
        <v>44220</v>
      </c>
      <c r="D25" s="114">
        <v>87960</v>
      </c>
    </row>
    <row r="26" spans="2:7" ht="6" customHeight="1" thickBot="1" x14ac:dyDescent="0.3">
      <c r="B26" s="115"/>
      <c r="C26" s="120"/>
      <c r="D26" s="116"/>
    </row>
    <row r="27" spans="2:7" ht="30" customHeight="1" thickBot="1" x14ac:dyDescent="0.3">
      <c r="B27" s="123" t="s">
        <v>180</v>
      </c>
      <c r="C27" s="121">
        <f>C17/C15</f>
        <v>0.15584415584415584</v>
      </c>
      <c r="D27" s="122">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Q67"/>
  <sheetViews>
    <sheetView showGridLines="0" zoomScale="115" zoomScaleNormal="115" workbookViewId="0">
      <selection activeCell="A2" sqref="A2"/>
    </sheetView>
  </sheetViews>
  <sheetFormatPr defaultRowHeight="15" x14ac:dyDescent="0.25"/>
  <cols>
    <col min="1" max="2" width="3.85546875" customWidth="1"/>
    <col min="3" max="3" width="10.42578125" customWidth="1"/>
    <col min="4" max="4" width="2.85546875" customWidth="1"/>
    <col min="5" max="5" width="2.7109375" customWidth="1"/>
    <col min="6" max="6" width="6" style="68" customWidth="1"/>
  </cols>
  <sheetData>
    <row r="2" spans="2:17" ht="139.5" customHeight="1" x14ac:dyDescent="0.25"/>
    <row r="3" spans="2:17" ht="15.75" thickBot="1" x14ac:dyDescent="0.3">
      <c r="B3" s="1"/>
      <c r="C3" s="125"/>
      <c r="D3" s="1"/>
      <c r="E3" s="1"/>
      <c r="F3" s="126"/>
      <c r="G3" s="1"/>
      <c r="H3" s="1"/>
      <c r="I3" s="1"/>
      <c r="J3" s="1"/>
      <c r="K3" s="1"/>
      <c r="L3" s="1"/>
      <c r="M3" s="1"/>
      <c r="N3" s="1"/>
      <c r="O3" s="1"/>
      <c r="P3" s="1"/>
      <c r="Q3" s="1"/>
    </row>
    <row r="4" spans="2:17" ht="103.15" customHeight="1" thickBot="1" x14ac:dyDescent="0.3">
      <c r="B4" s="127"/>
      <c r="C4" s="128" t="s">
        <v>121</v>
      </c>
      <c r="D4" s="185" t="s">
        <v>192</v>
      </c>
      <c r="E4" s="185"/>
      <c r="F4" s="185"/>
      <c r="G4" s="185"/>
      <c r="H4" s="185"/>
      <c r="I4" s="185"/>
      <c r="J4" s="185"/>
      <c r="K4" s="185"/>
      <c r="L4" s="185"/>
      <c r="M4" s="185"/>
      <c r="N4" s="185"/>
      <c r="O4" s="127"/>
      <c r="P4" s="127"/>
      <c r="Q4" s="127"/>
    </row>
    <row r="5" spans="2:17" ht="15.75" thickBot="1" x14ac:dyDescent="0.3"/>
    <row r="6" spans="2:17" ht="15.75" thickBot="1" x14ac:dyDescent="0.3">
      <c r="C6" s="73" t="s">
        <v>213</v>
      </c>
      <c r="D6" s="70" t="s">
        <v>212</v>
      </c>
    </row>
    <row r="7" spans="2:17" ht="8.4499999999999993" customHeight="1" x14ac:dyDescent="0.25">
      <c r="C7" s="72"/>
      <c r="D7" s="70"/>
    </row>
    <row r="8" spans="2:17" ht="14.25" customHeight="1" x14ac:dyDescent="0.25">
      <c r="C8" s="72"/>
      <c r="D8" s="69" t="s">
        <v>182</v>
      </c>
    </row>
    <row r="9" spans="2:17" x14ac:dyDescent="0.25">
      <c r="C9" s="72"/>
      <c r="D9" s="69" t="s">
        <v>193</v>
      </c>
    </row>
    <row r="10" spans="2:17" x14ac:dyDescent="0.25">
      <c r="C10" s="72"/>
      <c r="D10" s="69" t="s">
        <v>194</v>
      </c>
    </row>
    <row r="11" spans="2:17" x14ac:dyDescent="0.25">
      <c r="C11" s="72"/>
      <c r="D11" s="69" t="s">
        <v>195</v>
      </c>
    </row>
    <row r="12" spans="2:17" x14ac:dyDescent="0.25">
      <c r="C12" s="72"/>
      <c r="D12" s="69" t="s">
        <v>120</v>
      </c>
    </row>
    <row r="13" spans="2:17" ht="15.75" thickBot="1" x14ac:dyDescent="0.3">
      <c r="C13" s="72"/>
    </row>
    <row r="14" spans="2:17" ht="15.75" thickBot="1" x14ac:dyDescent="0.3">
      <c r="C14" s="73" t="s">
        <v>196</v>
      </c>
      <c r="D14" s="70" t="s">
        <v>197</v>
      </c>
    </row>
    <row r="15" spans="2:17" ht="9.6" customHeight="1" x14ac:dyDescent="0.25">
      <c r="D15" s="70"/>
    </row>
    <row r="16" spans="2:17" x14ac:dyDescent="0.25">
      <c r="D16" s="69" t="s">
        <v>198</v>
      </c>
    </row>
    <row r="17" spans="2:17" x14ac:dyDescent="0.25">
      <c r="D17" s="69" t="s">
        <v>187</v>
      </c>
    </row>
    <row r="18" spans="2:17" x14ac:dyDescent="0.25">
      <c r="D18" s="69" t="s">
        <v>214</v>
      </c>
    </row>
    <row r="19" spans="2:17" x14ac:dyDescent="0.25">
      <c r="D19" s="69" t="s">
        <v>199</v>
      </c>
    </row>
    <row r="20" spans="2:17" x14ac:dyDescent="0.25">
      <c r="D20" s="69" t="s">
        <v>200</v>
      </c>
    </row>
    <row r="21" spans="2:17" ht="15.75" thickBot="1" x14ac:dyDescent="0.3">
      <c r="D21" s="69"/>
    </row>
    <row r="22" spans="2:17" ht="15.75" thickBot="1" x14ac:dyDescent="0.3">
      <c r="C22" s="73" t="s">
        <v>196</v>
      </c>
      <c r="D22" s="70" t="s">
        <v>188</v>
      </c>
    </row>
    <row r="23" spans="2:17" ht="9" customHeight="1" x14ac:dyDescent="0.25">
      <c r="C23" s="72"/>
      <c r="D23" s="70"/>
    </row>
    <row r="24" spans="2:17" x14ac:dyDescent="0.25">
      <c r="C24" s="72"/>
      <c r="D24" s="69" t="s">
        <v>215</v>
      </c>
    </row>
    <row r="25" spans="2:17" x14ac:dyDescent="0.25">
      <c r="C25" s="72"/>
      <c r="D25" s="69" t="s">
        <v>201</v>
      </c>
    </row>
    <row r="26" spans="2:17" x14ac:dyDescent="0.25">
      <c r="C26" s="72"/>
      <c r="D26" s="69" t="s">
        <v>183</v>
      </c>
    </row>
    <row r="27" spans="2:17" x14ac:dyDescent="0.25">
      <c r="C27" s="72"/>
      <c r="D27" s="69" t="s">
        <v>216</v>
      </c>
    </row>
    <row r="28" spans="2:17" x14ac:dyDescent="0.25">
      <c r="C28" s="72"/>
      <c r="D28" s="69" t="s">
        <v>122</v>
      </c>
    </row>
    <row r="29" spans="2:17" ht="15.75" thickBot="1" x14ac:dyDescent="0.3">
      <c r="B29" s="1"/>
      <c r="C29" s="125"/>
      <c r="D29" s="129"/>
      <c r="E29" s="1"/>
      <c r="F29" s="126"/>
      <c r="G29" s="1"/>
      <c r="H29" s="1"/>
      <c r="I29" s="1"/>
      <c r="J29" s="1"/>
      <c r="K29" s="1"/>
      <c r="L29" s="1"/>
      <c r="M29" s="1"/>
      <c r="N29" s="1"/>
      <c r="O29" s="1"/>
      <c r="P29" s="1"/>
      <c r="Q29" s="1"/>
    </row>
    <row r="30" spans="2:17" ht="121.15" customHeight="1" thickBot="1" x14ac:dyDescent="0.3">
      <c r="B30" s="127"/>
      <c r="C30" s="128" t="s">
        <v>123</v>
      </c>
      <c r="D30" s="186" t="s">
        <v>202</v>
      </c>
      <c r="E30" s="186"/>
      <c r="F30" s="186"/>
      <c r="G30" s="186"/>
      <c r="H30" s="186"/>
      <c r="I30" s="186"/>
      <c r="J30" s="186"/>
      <c r="K30" s="186"/>
      <c r="L30" s="186"/>
      <c r="M30" s="186"/>
      <c r="N30" s="186"/>
      <c r="O30" s="127"/>
      <c r="P30" s="127"/>
      <c r="Q30" s="127"/>
    </row>
    <row r="31" spans="2:17" ht="15.75" thickBot="1" x14ac:dyDescent="0.3"/>
    <row r="32" spans="2:17" ht="15.75" thickBot="1" x14ac:dyDescent="0.3">
      <c r="C32" s="73" t="b">
        <v>0</v>
      </c>
      <c r="D32" t="s">
        <v>224</v>
      </c>
    </row>
    <row r="33" spans="3:4" ht="15.75" thickBot="1" x14ac:dyDescent="0.3"/>
    <row r="34" spans="3:4" ht="15.75" thickBot="1" x14ac:dyDescent="0.3">
      <c r="C34" s="73" t="b">
        <v>1</v>
      </c>
      <c r="D34" t="s">
        <v>189</v>
      </c>
    </row>
    <row r="35" spans="3:4" x14ac:dyDescent="0.25">
      <c r="C35" s="72"/>
      <c r="D35" t="s">
        <v>203</v>
      </c>
    </row>
    <row r="36" spans="3:4" ht="15.75" thickBot="1" x14ac:dyDescent="0.3"/>
    <row r="37" spans="3:4" ht="15.75" thickBot="1" x14ac:dyDescent="0.3">
      <c r="C37" s="73" t="b">
        <v>1</v>
      </c>
      <c r="D37" t="s">
        <v>217</v>
      </c>
    </row>
    <row r="38" spans="3:4" ht="15.75" thickBot="1" x14ac:dyDescent="0.3">
      <c r="C38" s="72"/>
    </row>
    <row r="39" spans="3:4" ht="15.75" thickBot="1" x14ac:dyDescent="0.3">
      <c r="C39" s="73" t="b">
        <v>0</v>
      </c>
      <c r="D39" t="s">
        <v>223</v>
      </c>
    </row>
    <row r="40" spans="3:4" x14ac:dyDescent="0.25">
      <c r="D40" t="s">
        <v>170</v>
      </c>
    </row>
    <row r="41" spans="3:4" ht="15.75" thickBot="1" x14ac:dyDescent="0.3">
      <c r="C41" s="72"/>
    </row>
    <row r="42" spans="3:4" ht="15.75" thickBot="1" x14ac:dyDescent="0.3">
      <c r="C42" s="73" t="b">
        <v>0</v>
      </c>
      <c r="D42" t="s">
        <v>221</v>
      </c>
    </row>
    <row r="43" spans="3:4" x14ac:dyDescent="0.25">
      <c r="D43" t="s">
        <v>222</v>
      </c>
    </row>
    <row r="44" spans="3:4" ht="15.75" thickBot="1" x14ac:dyDescent="0.3">
      <c r="C44" s="72"/>
    </row>
    <row r="45" spans="3:4" ht="15.75" thickBot="1" x14ac:dyDescent="0.3">
      <c r="C45" s="124" t="b">
        <v>1</v>
      </c>
      <c r="D45" t="s">
        <v>204</v>
      </c>
    </row>
    <row r="46" spans="3:4" ht="15.75" thickBot="1" x14ac:dyDescent="0.3">
      <c r="C46" s="72"/>
    </row>
    <row r="47" spans="3:4" ht="15.75" thickBot="1" x14ac:dyDescent="0.3">
      <c r="C47" s="73" t="b">
        <v>0</v>
      </c>
      <c r="D47" t="s">
        <v>220</v>
      </c>
    </row>
    <row r="48" spans="3:4" ht="15.75" thickBot="1" x14ac:dyDescent="0.3"/>
    <row r="49" spans="3:6" ht="15.75" thickBot="1" x14ac:dyDescent="0.3">
      <c r="C49" s="73" t="b">
        <v>0</v>
      </c>
      <c r="D49" t="s">
        <v>171</v>
      </c>
    </row>
    <row r="50" spans="3:6" ht="15.75" thickBot="1" x14ac:dyDescent="0.3"/>
    <row r="51" spans="3:6" ht="15.75" thickBot="1" x14ac:dyDescent="0.3">
      <c r="C51" s="124" t="b">
        <v>1</v>
      </c>
      <c r="D51" s="71" t="s">
        <v>219</v>
      </c>
    </row>
    <row r="52" spans="3:6" x14ac:dyDescent="0.25">
      <c r="D52" t="s">
        <v>124</v>
      </c>
    </row>
    <row r="53" spans="3:6" ht="15.75" thickBot="1" x14ac:dyDescent="0.3"/>
    <row r="54" spans="3:6" ht="15.75" thickBot="1" x14ac:dyDescent="0.3">
      <c r="C54" s="124" t="b">
        <v>1</v>
      </c>
      <c r="D54" t="s">
        <v>184</v>
      </c>
      <c r="E54" s="72"/>
      <c r="F54"/>
    </row>
    <row r="55" spans="3:6" x14ac:dyDescent="0.25">
      <c r="D55" t="s">
        <v>181</v>
      </c>
      <c r="E55" s="72"/>
      <c r="F55"/>
    </row>
    <row r="56" spans="3:6" ht="15.75" thickBot="1" x14ac:dyDescent="0.3"/>
    <row r="57" spans="3:6" ht="15.75" thickBot="1" x14ac:dyDescent="0.3">
      <c r="C57" s="124" t="b">
        <v>0</v>
      </c>
      <c r="D57" s="71" t="s">
        <v>191</v>
      </c>
      <c r="E57" s="72"/>
      <c r="F57"/>
    </row>
    <row r="58" spans="3:6" x14ac:dyDescent="0.25">
      <c r="D58" t="s">
        <v>190</v>
      </c>
      <c r="E58" s="72"/>
      <c r="F58"/>
    </row>
    <row r="59" spans="3:6" ht="15.75" thickBot="1" x14ac:dyDescent="0.3"/>
    <row r="60" spans="3:6" ht="15.75" thickBot="1" x14ac:dyDescent="0.3">
      <c r="C60" s="124" t="b">
        <v>1</v>
      </c>
      <c r="D60" s="71" t="s">
        <v>185</v>
      </c>
      <c r="E60" s="72"/>
      <c r="F60"/>
    </row>
    <row r="61" spans="3:6" x14ac:dyDescent="0.25">
      <c r="D61" t="s">
        <v>186</v>
      </c>
      <c r="E61" s="72"/>
      <c r="F61"/>
    </row>
    <row r="62" spans="3:6" ht="11.25" customHeight="1" thickBot="1" x14ac:dyDescent="0.3">
      <c r="E62" s="72"/>
      <c r="F62"/>
    </row>
    <row r="63" spans="3:6" ht="15.75" thickBot="1" x14ac:dyDescent="0.3">
      <c r="C63" s="124" t="b">
        <v>1</v>
      </c>
      <c r="D63" s="71" t="s">
        <v>218</v>
      </c>
      <c r="E63" s="72"/>
      <c r="F63"/>
    </row>
    <row r="64" spans="3:6" ht="15.75" thickBot="1" x14ac:dyDescent="0.3">
      <c r="E64" s="72"/>
      <c r="F64"/>
    </row>
    <row r="65" spans="2:17" ht="15.75" thickBot="1" x14ac:dyDescent="0.3">
      <c r="C65" s="124" t="b">
        <v>0</v>
      </c>
      <c r="D65" s="71" t="s">
        <v>208</v>
      </c>
      <c r="E65" s="72"/>
      <c r="F65"/>
    </row>
    <row r="66" spans="2:17" x14ac:dyDescent="0.25">
      <c r="E66" s="72"/>
      <c r="F66"/>
    </row>
    <row r="67" spans="2:17" ht="15.75" thickBot="1" x14ac:dyDescent="0.3">
      <c r="B67" s="1"/>
      <c r="C67" s="1"/>
      <c r="D67" s="1"/>
      <c r="E67" s="1"/>
      <c r="F67" s="126"/>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9"/>
  <sheetViews>
    <sheetView showGridLines="0" zoomScale="130" zoomScaleNormal="130" workbookViewId="0">
      <selection activeCell="D14" sqref="D14"/>
    </sheetView>
  </sheetViews>
  <sheetFormatPr defaultRowHeight="15" x14ac:dyDescent="0.25"/>
  <cols>
    <col min="3" max="3" width="3.42578125" customWidth="1"/>
    <col min="6" max="6" width="3.42578125" customWidth="1"/>
    <col min="9" max="9" width="3.42578125" customWidth="1"/>
  </cols>
  <sheetData>
    <row r="2" spans="2:10" ht="21" x14ac:dyDescent="0.35">
      <c r="B2" s="77" t="s">
        <v>172</v>
      </c>
      <c r="C2" s="77"/>
    </row>
    <row r="3" spans="2:10" ht="15.75" thickBot="1" x14ac:dyDescent="0.3"/>
    <row r="4" spans="2:10" x14ac:dyDescent="0.25">
      <c r="B4" s="78">
        <v>1</v>
      </c>
      <c r="C4" s="140"/>
      <c r="D4" s="74" t="str">
        <f>'MC-TF - 20 Pts'!C6</f>
        <v>B</v>
      </c>
      <c r="E4" s="78">
        <v>7</v>
      </c>
      <c r="F4" s="140"/>
      <c r="G4" s="74" t="b">
        <f>'MC-TF - 20 Pts'!C39</f>
        <v>0</v>
      </c>
      <c r="H4" s="78">
        <v>13</v>
      </c>
      <c r="I4" s="140"/>
      <c r="J4" s="74" t="b">
        <f>'MC-TF - 20 Pts'!C54</f>
        <v>1</v>
      </c>
    </row>
    <row r="5" spans="2:10" x14ac:dyDescent="0.25">
      <c r="B5" s="79">
        <v>2</v>
      </c>
      <c r="C5" s="139"/>
      <c r="D5" s="75" t="str">
        <f>'MC-TF - 20 Pts'!C14</f>
        <v>D</v>
      </c>
      <c r="E5" s="79">
        <v>8</v>
      </c>
      <c r="F5" s="139"/>
      <c r="G5" s="75" t="b">
        <f>'MC-TF - 20 Pts'!C42</f>
        <v>0</v>
      </c>
      <c r="H5" s="79">
        <v>14</v>
      </c>
      <c r="I5" s="139"/>
      <c r="J5" s="75" t="b">
        <f>'MC-TF - 20 Pts'!C57</f>
        <v>0</v>
      </c>
    </row>
    <row r="6" spans="2:10" x14ac:dyDescent="0.25">
      <c r="B6" s="79">
        <v>3</v>
      </c>
      <c r="C6" s="139"/>
      <c r="D6" s="75" t="str">
        <f>'MC-TF - 20 Pts'!C22</f>
        <v>D</v>
      </c>
      <c r="E6" s="79">
        <v>9</v>
      </c>
      <c r="F6" s="139"/>
      <c r="G6" s="75" t="b">
        <f>'MC-TF - 20 Pts'!C45</f>
        <v>1</v>
      </c>
      <c r="H6" s="79">
        <v>15</v>
      </c>
      <c r="I6" s="139"/>
      <c r="J6" s="75" t="b">
        <f>'MC-TF - 20 Pts'!C60</f>
        <v>1</v>
      </c>
    </row>
    <row r="7" spans="2:10" x14ac:dyDescent="0.25">
      <c r="B7" s="79">
        <v>4</v>
      </c>
      <c r="C7" s="139"/>
      <c r="D7" s="75" t="b">
        <f>'MC-TF - 20 Pts'!C32</f>
        <v>0</v>
      </c>
      <c r="E7" s="79">
        <v>10</v>
      </c>
      <c r="F7" s="139"/>
      <c r="G7" s="75" t="b">
        <f>'MC-TF - 20 Pts'!C47</f>
        <v>0</v>
      </c>
      <c r="H7" s="79">
        <v>16</v>
      </c>
      <c r="I7" s="139"/>
      <c r="J7" s="75" t="b">
        <f>'MC-TF - 20 Pts'!C63</f>
        <v>1</v>
      </c>
    </row>
    <row r="8" spans="2:10" x14ac:dyDescent="0.25">
      <c r="B8" s="142">
        <v>5</v>
      </c>
      <c r="C8" s="143"/>
      <c r="D8" s="75" t="b">
        <f>'MC-TF - 20 Pts'!C34</f>
        <v>1</v>
      </c>
      <c r="E8" s="142">
        <v>11</v>
      </c>
      <c r="F8" s="143"/>
      <c r="G8" s="75" t="b">
        <f>'MC-TF - 20 Pts'!C49</f>
        <v>0</v>
      </c>
      <c r="H8" s="142">
        <v>17</v>
      </c>
      <c r="I8" s="143"/>
      <c r="J8" s="75" t="b">
        <f>'MC-TF - 20 Pts'!C65</f>
        <v>0</v>
      </c>
    </row>
    <row r="9" spans="2:10" ht="15.75" thickBot="1" x14ac:dyDescent="0.3">
      <c r="B9" s="80">
        <v>6</v>
      </c>
      <c r="C9" s="141"/>
      <c r="D9" s="76" t="b">
        <f>'MC-TF - 20 Pts'!C37</f>
        <v>1</v>
      </c>
      <c r="E9" s="80">
        <v>12</v>
      </c>
      <c r="F9" s="141"/>
      <c r="G9" s="76" t="b">
        <f>'MC-TF - 20 Pts'!C51</f>
        <v>1</v>
      </c>
      <c r="H9" s="144"/>
      <c r="I9" s="145"/>
      <c r="J9" s="1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2 - 25 Pts </vt:lpstr>
      <vt:lpstr>Scenario Summary</vt:lpstr>
      <vt:lpstr>Prob 3 - 10 Pts</vt:lpstr>
      <vt:lpstr>Prob 4 - 5 - Pts</vt:lpstr>
      <vt:lpstr>Prob 5 - 5 Pts</vt:lpstr>
      <vt:lpstr>MC-TF - 20 Pts</vt:lpstr>
      <vt:lpstr>Sheet3</vt:lpstr>
      <vt:lpstr>Collect0</vt:lpstr>
      <vt:lpstr>Collect1</vt:lpstr>
      <vt:lpstr>Collect2</vt:lpstr>
      <vt:lpstr>NCF</vt:lpstr>
      <vt:lpstr>'Prob 1 - 30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2013-09-30T20:33:28Z</cp:lastPrinted>
  <dcterms:created xsi:type="dcterms:W3CDTF">2010-01-07T16:00:30Z</dcterms:created>
  <dcterms:modified xsi:type="dcterms:W3CDTF">2020-06-13T20:30:12Z</dcterms:modified>
</cp:coreProperties>
</file>