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24226"/>
  <mc:AlternateContent xmlns:mc="http://schemas.openxmlformats.org/markup-compatibility/2006">
    <mc:Choice Requires="x15">
      <x15ac:absPath xmlns:x15ac="http://schemas.microsoft.com/office/spreadsheetml/2010/11/ac" url="C:\Users\dhawley\Dropbox\Class\Fall 2018\Exam 2\"/>
    </mc:Choice>
  </mc:AlternateContent>
  <xr:revisionPtr revIDLastSave="0" documentId="13_ncr:1_{36F45159-AE6E-451F-8C33-05C0C47C6772}" xr6:coauthVersionLast="37" xr6:coauthVersionMax="37" xr10:uidLastSave="{00000000-0000-0000-0000-000000000000}"/>
  <bookViews>
    <workbookView xWindow="11250" yWindow="90" windowWidth="20130" windowHeight="7980" tabRatio="681" xr2:uid="{00000000-000D-0000-FFFF-FFFF00000000}"/>
  </bookViews>
  <sheets>
    <sheet name="INSTRUCTIONS" sheetId="6" r:id="rId1"/>
    <sheet name="P1 - 20 Pts" sheetId="2" r:id="rId2"/>
    <sheet name="P2 - 5 Pts" sheetId="10" r:id="rId3"/>
    <sheet name="P3 - 10 Pts" sheetId="11" r:id="rId4"/>
    <sheet name="P4 10 Pts" sheetId="14" r:id="rId5"/>
    <sheet name="P5 - 20 Pts" sheetId="1" r:id="rId6"/>
    <sheet name="P6 - 15 Pts" sheetId="16" r:id="rId7"/>
    <sheet name="MC-TF 20 Pts" sheetId="15" r:id="rId8"/>
  </sheets>
  <definedNames>
    <definedName name="OLE_LINK1" localSheetId="5">'P5 - 20 Pts'!$C$65</definedName>
    <definedName name="Periods">'P1 - 20 Pts'!$O$21</definedName>
    <definedName name="_xlnm.Print_Area" localSheetId="6">'P6 - 15 Pts'!$B$24:$J$74</definedName>
    <definedName name="Rate">'P1 - 20 Pts'!$F$23</definedName>
    <definedName name="Term">'P1 - 20 Pts'!$F$22</definedName>
  </definedNames>
  <calcPr calcId="179021" iterate="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85" i="1" l="1"/>
  <c r="F38" i="16" l="1"/>
  <c r="I13" i="16"/>
  <c r="D110" i="1"/>
  <c r="E72" i="1"/>
  <c r="E73" i="1" s="1"/>
  <c r="E74" i="1" s="1"/>
  <c r="E75" i="1" s="1"/>
  <c r="D34" i="1"/>
  <c r="E20" i="1"/>
  <c r="H29" i="11"/>
  <c r="H28" i="11"/>
  <c r="H27" i="11"/>
  <c r="H26" i="11"/>
  <c r="H21" i="11"/>
  <c r="H20" i="11" l="1"/>
  <c r="E52" i="16" l="1"/>
  <c r="D52" i="16"/>
  <c r="E56" i="16"/>
  <c r="E21" i="1"/>
  <c r="H22" i="11"/>
  <c r="H23" i="11" s="1"/>
  <c r="F42" i="16" l="1"/>
  <c r="F55" i="16"/>
  <c r="D68" i="16" l="1"/>
  <c r="E63" i="16"/>
  <c r="E65" i="16" s="1"/>
  <c r="D63" i="16"/>
  <c r="D65" i="16" s="1"/>
  <c r="I60" i="16"/>
  <c r="H60" i="16"/>
  <c r="J60" i="16" s="1"/>
  <c r="D57" i="16"/>
  <c r="F56" i="16"/>
  <c r="E54" i="16"/>
  <c r="D54" i="16"/>
  <c r="I53" i="16"/>
  <c r="H53" i="16"/>
  <c r="J53" i="16" s="1"/>
  <c r="I52" i="16"/>
  <c r="H52" i="16"/>
  <c r="J52" i="16" s="1"/>
  <c r="F44" i="16"/>
  <c r="I40" i="16"/>
  <c r="J40" i="16" s="1"/>
  <c r="H40" i="16"/>
  <c r="E39" i="16"/>
  <c r="E43" i="16" s="1"/>
  <c r="E45" i="16" s="1"/>
  <c r="D39" i="16"/>
  <c r="D43" i="16" s="1"/>
  <c r="D45" i="16" s="1"/>
  <c r="D46" i="16" s="1"/>
  <c r="D47" i="16" s="1"/>
  <c r="I38" i="16"/>
  <c r="H38" i="16"/>
  <c r="F37" i="16"/>
  <c r="D69" i="16" l="1"/>
  <c r="D58" i="16"/>
  <c r="J38" i="16"/>
  <c r="F39" i="16" s="1"/>
  <c r="E57" i="16"/>
  <c r="E58" i="16" s="1"/>
  <c r="F57" i="16"/>
  <c r="F60" i="16"/>
  <c r="F63" i="16" s="1"/>
  <c r="F65" i="16" s="1"/>
  <c r="E46" i="16"/>
  <c r="E47" i="16" s="1"/>
  <c r="E67" i="16" s="1"/>
  <c r="F40" i="16"/>
  <c r="F52" i="16"/>
  <c r="F53" i="16"/>
  <c r="F54" i="16" l="1"/>
  <c r="F58" i="16" s="1"/>
  <c r="F43" i="16"/>
  <c r="F45" i="16" s="1"/>
  <c r="F46" i="16" s="1"/>
  <c r="E68" i="16"/>
  <c r="E69" i="16" s="1"/>
  <c r="F47" i="16" l="1"/>
  <c r="F67" i="16" s="1"/>
  <c r="F68" i="16" s="1"/>
  <c r="F69" i="16" s="1"/>
  <c r="F72" i="16" s="1"/>
  <c r="O19" i="11" l="1"/>
  <c r="B94" i="15"/>
  <c r="B93" i="15"/>
  <c r="B92" i="15"/>
  <c r="B91" i="15"/>
  <c r="B90" i="15"/>
  <c r="B89" i="15"/>
  <c r="B88" i="15"/>
  <c r="B87" i="15"/>
  <c r="B86" i="15"/>
  <c r="B85" i="15"/>
  <c r="B84" i="15"/>
  <c r="B83" i="15"/>
  <c r="B82" i="15"/>
  <c r="B81" i="15"/>
  <c r="B80" i="15"/>
  <c r="I20" i="14"/>
  <c r="E22" i="1"/>
  <c r="E23" i="1" s="1"/>
  <c r="E24" i="1" s="1"/>
  <c r="E25" i="1" s="1"/>
  <c r="F46" i="1"/>
  <c r="F45" i="1"/>
  <c r="F44" i="1"/>
  <c r="F43" i="1"/>
  <c r="P18" i="11"/>
  <c r="G19" i="10"/>
  <c r="G30" i="2"/>
  <c r="O21" i="2"/>
  <c r="D85" i="2" l="1"/>
  <c r="D31" i="2"/>
  <c r="D65" i="2" s="1"/>
  <c r="I27" i="14"/>
  <c r="P19" i="11"/>
  <c r="O20" i="11"/>
  <c r="G23" i="10"/>
  <c r="G31" i="10" s="1"/>
  <c r="E86" i="2"/>
  <c r="E70" i="2"/>
  <c r="D87" i="2"/>
  <c r="G77" i="2"/>
  <c r="E89" i="2"/>
  <c r="F86" i="2"/>
  <c r="G83" i="2"/>
  <c r="E81" i="2"/>
  <c r="F78" i="2"/>
  <c r="G75" i="2"/>
  <c r="E73" i="2"/>
  <c r="F70" i="2"/>
  <c r="G67" i="2"/>
  <c r="D76" i="2"/>
  <c r="D86" i="2"/>
  <c r="H25" i="2"/>
  <c r="E75" i="2"/>
  <c r="D80" i="2"/>
  <c r="G90" i="2"/>
  <c r="E88" i="2"/>
  <c r="F85" i="2"/>
  <c r="G82" i="2"/>
  <c r="E80" i="2"/>
  <c r="F77" i="2"/>
  <c r="G74" i="2"/>
  <c r="E72" i="2"/>
  <c r="F69" i="2"/>
  <c r="D78" i="2"/>
  <c r="D81" i="2"/>
  <c r="D89" i="2"/>
  <c r="F83" i="2"/>
  <c r="G72" i="2"/>
  <c r="G85" i="2"/>
  <c r="E67" i="2"/>
  <c r="D88" i="2"/>
  <c r="F90" i="2"/>
  <c r="G87" i="2"/>
  <c r="E85" i="2"/>
  <c r="F82" i="2"/>
  <c r="G79" i="2"/>
  <c r="E77" i="2"/>
  <c r="F74" i="2"/>
  <c r="G71" i="2"/>
  <c r="E69" i="2"/>
  <c r="D77" i="2"/>
  <c r="D74" i="2"/>
  <c r="D82" i="2"/>
  <c r="D90" i="2"/>
  <c r="G80" i="2"/>
  <c r="F67" i="2"/>
  <c r="F88" i="2"/>
  <c r="F72" i="2"/>
  <c r="E90" i="2"/>
  <c r="F87" i="2"/>
  <c r="G84" i="2"/>
  <c r="E82" i="2"/>
  <c r="F79" i="2"/>
  <c r="G76" i="2"/>
  <c r="E74" i="2"/>
  <c r="F71" i="2"/>
  <c r="G68" i="2"/>
  <c r="D73" i="2"/>
  <c r="D70" i="2"/>
  <c r="D83" i="2"/>
  <c r="E31" i="2"/>
  <c r="E78" i="2"/>
  <c r="D72" i="2"/>
  <c r="D79" i="2"/>
  <c r="F80" i="2"/>
  <c r="D68" i="2"/>
  <c r="G89" i="2"/>
  <c r="E87" i="2"/>
  <c r="F84" i="2"/>
  <c r="G81" i="2"/>
  <c r="E79" i="2"/>
  <c r="F76" i="2"/>
  <c r="G73" i="2"/>
  <c r="E71" i="2"/>
  <c r="F68" i="2"/>
  <c r="D69" i="2"/>
  <c r="D75" i="2"/>
  <c r="D84" i="2"/>
  <c r="G88" i="2"/>
  <c r="F75" i="2"/>
  <c r="D47" i="2"/>
  <c r="E83" i="2"/>
  <c r="G69" i="2"/>
  <c r="F89" i="2"/>
  <c r="G86" i="2"/>
  <c r="E84" i="2"/>
  <c r="F81" i="2"/>
  <c r="G78" i="2"/>
  <c r="E76" i="2"/>
  <c r="F73" i="2"/>
  <c r="G70" i="2"/>
  <c r="E68" i="2"/>
  <c r="D71" i="2"/>
  <c r="D67" i="2"/>
  <c r="D54" i="2"/>
  <c r="D43" i="2"/>
  <c r="D64" i="2"/>
  <c r="D56" i="2"/>
  <c r="D32" i="2"/>
  <c r="D49" i="2"/>
  <c r="D45" i="2"/>
  <c r="D55" i="2"/>
  <c r="D52" i="2" l="1"/>
  <c r="D51" i="2"/>
  <c r="D58" i="2"/>
  <c r="D39" i="2"/>
  <c r="D62" i="2"/>
  <c r="D60" i="2"/>
  <c r="D38" i="2"/>
  <c r="D37" i="2"/>
  <c r="D44" i="2"/>
  <c r="D59" i="2"/>
  <c r="D36" i="2"/>
  <c r="D57" i="2"/>
  <c r="D61" i="2"/>
  <c r="D41" i="2"/>
  <c r="D33" i="2"/>
  <c r="D42" i="2"/>
  <c r="D50" i="2"/>
  <c r="D34" i="2"/>
  <c r="D66" i="2"/>
  <c r="D53" i="2"/>
  <c r="D40" i="2"/>
  <c r="D48" i="2"/>
  <c r="D63" i="2"/>
  <c r="D46" i="2"/>
  <c r="P20" i="11"/>
  <c r="F31" i="2"/>
  <c r="G31" i="2" s="1"/>
  <c r="E32" i="2" s="1"/>
  <c r="F32" i="2" s="1"/>
  <c r="G32" i="2" s="1"/>
  <c r="I28" i="14"/>
  <c r="O21" i="11"/>
  <c r="H22" i="2"/>
  <c r="D35" i="2"/>
  <c r="P21" i="11" l="1"/>
  <c r="I21" i="14"/>
  <c r="I29" i="14"/>
  <c r="O22" i="11"/>
  <c r="E33" i="2"/>
  <c r="F33" i="2" s="1"/>
  <c r="G33" i="2" s="1"/>
  <c r="P22" i="11" l="1"/>
  <c r="I22" i="14"/>
  <c r="I30" i="14"/>
  <c r="I23" i="14" s="1"/>
  <c r="O23" i="11"/>
  <c r="E34" i="2"/>
  <c r="F34" i="2" s="1"/>
  <c r="G34" i="2" s="1"/>
  <c r="P23" i="11" l="1"/>
  <c r="O24" i="11"/>
  <c r="E35" i="2"/>
  <c r="F35" i="2" s="1"/>
  <c r="G35" i="2" s="1"/>
  <c r="P24" i="11" l="1"/>
  <c r="O25" i="11"/>
  <c r="P25" i="11" s="1"/>
  <c r="E36" i="2"/>
  <c r="F36" i="2" s="1"/>
  <c r="G36" i="2" s="1"/>
  <c r="O26" i="11" l="1"/>
  <c r="P26" i="11" s="1"/>
  <c r="E37" i="2"/>
  <c r="F37" i="2" s="1"/>
  <c r="G37" i="2" s="1"/>
  <c r="O27" i="11" l="1"/>
  <c r="P27" i="11" s="1"/>
  <c r="E38" i="2"/>
  <c r="F38" i="2" s="1"/>
  <c r="G38" i="2" s="1"/>
  <c r="O28" i="11" l="1"/>
  <c r="P28" i="11" s="1"/>
  <c r="E39" i="2"/>
  <c r="F39" i="2" s="1"/>
  <c r="G39" i="2" s="1"/>
  <c r="O29" i="11" l="1"/>
  <c r="P29" i="11" s="1"/>
  <c r="E40" i="2"/>
  <c r="F40" i="2" s="1"/>
  <c r="G40" i="2" s="1"/>
  <c r="O30" i="11" l="1"/>
  <c r="P30" i="11" s="1"/>
  <c r="E41" i="2"/>
  <c r="F41" i="2" s="1"/>
  <c r="G41" i="2" s="1"/>
  <c r="O31" i="11" l="1"/>
  <c r="P31" i="11" s="1"/>
  <c r="E42" i="2"/>
  <c r="F42" i="2" s="1"/>
  <c r="G42" i="2" s="1"/>
  <c r="O32" i="11" l="1"/>
  <c r="P32" i="11" s="1"/>
  <c r="E43" i="2"/>
  <c r="F43" i="2" s="1"/>
  <c r="G43" i="2" s="1"/>
  <c r="O33" i="11" l="1"/>
  <c r="P33" i="11" s="1"/>
  <c r="E44" i="2"/>
  <c r="F44" i="2" s="1"/>
  <c r="G44" i="2" s="1"/>
  <c r="O34" i="11" l="1"/>
  <c r="P34" i="11" s="1"/>
  <c r="E45" i="2"/>
  <c r="F45" i="2" s="1"/>
  <c r="G45" i="2" s="1"/>
  <c r="O35" i="11" l="1"/>
  <c r="P35" i="11" s="1"/>
  <c r="E46" i="2"/>
  <c r="F46" i="2" s="1"/>
  <c r="G46" i="2" s="1"/>
  <c r="O36" i="11" l="1"/>
  <c r="P36" i="11" s="1"/>
  <c r="E47" i="2"/>
  <c r="F47" i="2" s="1"/>
  <c r="G47" i="2" s="1"/>
  <c r="O37" i="11" l="1"/>
  <c r="P37" i="11" s="1"/>
  <c r="E48" i="2"/>
  <c r="F48" i="2" s="1"/>
  <c r="G48" i="2" s="1"/>
  <c r="O38" i="11" l="1"/>
  <c r="P38" i="11" s="1"/>
  <c r="E49" i="2"/>
  <c r="F49" i="2" s="1"/>
  <c r="G49" i="2" s="1"/>
  <c r="O39" i="11" l="1"/>
  <c r="P39" i="11" s="1"/>
  <c r="E50" i="2"/>
  <c r="F50" i="2" s="1"/>
  <c r="G50" i="2" s="1"/>
  <c r="O40" i="11" l="1"/>
  <c r="P40" i="11" s="1"/>
  <c r="E51" i="2"/>
  <c r="F51" i="2" s="1"/>
  <c r="G51" i="2" s="1"/>
  <c r="O41" i="11" l="1"/>
  <c r="P41" i="11" s="1"/>
  <c r="E52" i="2"/>
  <c r="F52" i="2" s="1"/>
  <c r="G52" i="2" s="1"/>
  <c r="O42" i="11" l="1"/>
  <c r="P42" i="11" s="1"/>
  <c r="E53" i="2"/>
  <c r="F53" i="2" s="1"/>
  <c r="G53" i="2" s="1"/>
  <c r="P43" i="11" l="1"/>
  <c r="P44" i="11" s="1"/>
  <c r="P45" i="11" s="1"/>
  <c r="P46" i="11" s="1"/>
  <c r="P47" i="11" s="1"/>
  <c r="P48" i="11" s="1"/>
  <c r="P49" i="11" s="1"/>
  <c r="P50" i="11" s="1"/>
  <c r="P51" i="11" s="1"/>
  <c r="P52" i="11" s="1"/>
  <c r="P53" i="11" s="1"/>
  <c r="P54" i="11" s="1"/>
  <c r="P55" i="11" s="1"/>
  <c r="P56" i="11" s="1"/>
  <c r="P57" i="11" s="1"/>
  <c r="P58" i="11" s="1"/>
  <c r="P59" i="11" s="1"/>
  <c r="P60" i="11" s="1"/>
  <c r="P61" i="11" s="1"/>
  <c r="P62" i="11" s="1"/>
  <c r="P63" i="11" s="1"/>
  <c r="P64" i="11" s="1"/>
  <c r="P65" i="11" s="1"/>
  <c r="P66" i="11" s="1"/>
  <c r="P67" i="11" s="1"/>
  <c r="P68" i="11" s="1"/>
  <c r="P69" i="11" s="1"/>
  <c r="P70" i="11" s="1"/>
  <c r="P71" i="11" s="1"/>
  <c r="P72" i="11" s="1"/>
  <c r="P73" i="11" s="1"/>
  <c r="P74" i="11" s="1"/>
  <c r="P75" i="11" s="1"/>
  <c r="P76" i="11" s="1"/>
  <c r="E54" i="2"/>
  <c r="F54" i="2" s="1"/>
  <c r="G54" i="2" s="1"/>
  <c r="E55" i="2" l="1"/>
  <c r="F55" i="2" s="1"/>
  <c r="G55" i="2" s="1"/>
  <c r="E56" i="2" l="1"/>
  <c r="F56" i="2" s="1"/>
  <c r="G56" i="2" s="1"/>
  <c r="E57" i="2" l="1"/>
  <c r="F57" i="2" s="1"/>
  <c r="G57" i="2" s="1"/>
  <c r="E58" i="2" l="1"/>
  <c r="F58" i="2" s="1"/>
  <c r="G58" i="2" s="1"/>
  <c r="E59" i="2" l="1"/>
  <c r="F59" i="2" s="1"/>
  <c r="G59" i="2" s="1"/>
  <c r="E60" i="2" l="1"/>
  <c r="F60" i="2" s="1"/>
  <c r="G60" i="2" s="1"/>
  <c r="E61" i="2" l="1"/>
  <c r="F61" i="2" s="1"/>
  <c r="G61" i="2" s="1"/>
  <c r="E62" i="2" l="1"/>
  <c r="F62" i="2" s="1"/>
  <c r="G62" i="2" s="1"/>
  <c r="E63" i="2" l="1"/>
  <c r="F63" i="2" s="1"/>
  <c r="G63" i="2" s="1"/>
  <c r="E64" i="2" l="1"/>
  <c r="F64" i="2" s="1"/>
  <c r="G64" i="2" s="1"/>
  <c r="E65" i="2" l="1"/>
  <c r="F65" i="2" s="1"/>
  <c r="G65" i="2" s="1"/>
  <c r="E66" i="2" l="1"/>
  <c r="F66" i="2" s="1"/>
  <c r="G66" i="2" s="1"/>
</calcChain>
</file>

<file path=xl/sharedStrings.xml><?xml version="1.0" encoding="utf-8"?>
<sst xmlns="http://schemas.openxmlformats.org/spreadsheetml/2006/main" count="362" uniqueCount="302">
  <si>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</si>
  <si>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</si>
  <si>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</si>
  <si>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</si>
  <si>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</si>
  <si>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</si>
  <si>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</si>
  <si>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</si>
  <si>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</si>
  <si>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</si>
  <si>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</si>
  <si>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</si>
  <si>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</si>
  <si>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</si>
  <si>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</si>
  <si>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</si>
  <si>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</si>
  <si>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</si>
  <si>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</si>
  <si>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</si>
  <si>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</si>
  <si>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</si>
  <si>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</si>
  <si>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</si>
  <si>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</si>
  <si>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</si>
  <si>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</si>
  <si>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</si>
  <si>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</si>
  <si>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</si>
  <si>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</si>
  <si>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</si>
  <si>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</si>
  <si>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</si>
  <si>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</si>
  <si>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</si>
  <si>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</si>
  <si>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</si>
  <si>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</si>
  <si>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</si>
  <si>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</si>
  <si>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</si>
  <si>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</si>
  <si>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</si>
  <si>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</si>
  <si>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</si>
  <si>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</si>
  <si>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</si>
  <si>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</si>
  <si>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</si>
  <si>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</si>
  <si>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</si>
  <si>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</si>
  <si>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</si>
  <si>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</si>
  <si>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</si>
  <si>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</si>
  <si>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</si>
  <si>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</si>
  <si>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</si>
  <si>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</si>
  <si>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</si>
  <si>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</si>
  <si>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</si>
  <si>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</si>
  <si>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</si>
  <si>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</si>
  <si>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</si>
  <si>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</si>
  <si>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</si>
  <si>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</si>
  <si>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</si>
  <si>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COMPUTER YOU ARE USING WITH YOUR NAME IN THE FILENAME.</t>
  </si>
  <si>
    <t>When you have completed this exam spreadsheet:</t>
  </si>
  <si>
    <t>Save it one last time to the desktop of your computer.</t>
  </si>
  <si>
    <t>Consider the following cash flow timeline:</t>
  </si>
  <si>
    <t>represented by $X in the timeline, are all identical amounts. In the space below,</t>
  </si>
  <si>
    <t>Annual</t>
  </si>
  <si>
    <t>Quarterly</t>
  </si>
  <si>
    <t>Monthly</t>
  </si>
  <si>
    <t>Term of Loan in Years</t>
  </si>
  <si>
    <t>Number of payments needed to pay</t>
  </si>
  <si>
    <t>Required regular payment on the loan</t>
  </si>
  <si>
    <t>not including the supplemental payment</t>
  </si>
  <si>
    <t xml:space="preserve">   supplemental payments made every month</t>
  </si>
  <si>
    <t>Total Interest Paid</t>
  </si>
  <si>
    <t>Effective Annual</t>
  </si>
  <si>
    <t xml:space="preserve">  Interest Rate </t>
  </si>
  <si>
    <t xml:space="preserve">  over life of loan</t>
  </si>
  <si>
    <t>Time</t>
  </si>
  <si>
    <t xml:space="preserve">a year, that represent an investment opportunity. The investment will pay nothing </t>
  </si>
  <si>
    <t>Required Rate of Return</t>
  </si>
  <si>
    <t>In the yellow cell below, create ONE formula that computes the maximum amount you</t>
  </si>
  <si>
    <t>would be willing to pay for the investment given the inputs. All computations must</t>
  </si>
  <si>
    <t>Answer:</t>
  </si>
  <si>
    <t>PV at t=0 of unknowns</t>
  </si>
  <si>
    <t>Value of X's</t>
  </si>
  <si>
    <t>Points as marked for each question.</t>
  </si>
  <si>
    <t xml:space="preserve">some other amount in the final year.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</si>
  <si>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</si>
  <si>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</si>
  <si>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</si>
  <si>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</si>
  <si>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</si>
  <si>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Complete the written portion and give it to your proctor.</t>
  </si>
  <si>
    <t xml:space="preserve">You are planning for your retirement. Your goal is to accumulate enough money in </t>
  </si>
  <si>
    <t>Ignore taxes. Lable your computation steps to enable partial credit. Your formulas should work</t>
  </si>
  <si>
    <t>for any positive value of the input interest rate.</t>
  </si>
  <si>
    <t>Average annual interest rate earned on the account:</t>
  </si>
  <si>
    <t>Computations</t>
  </si>
  <si>
    <t>#1</t>
  </si>
  <si>
    <t>#2</t>
  </si>
  <si>
    <t>#3</t>
  </si>
  <si>
    <t>&lt;-- Answer</t>
  </si>
  <si>
    <t xml:space="preserve">Create the necessary formulas in the yellow cells to compute the effective annual </t>
  </si>
  <si>
    <t>interest rates for the input nominal annual rate given the listed compounding periods.</t>
  </si>
  <si>
    <t>Nominal Annual Interest Rate (Input)</t>
  </si>
  <si>
    <t xml:space="preserve">Compounding
</t>
  </si>
  <si>
    <t>Effective
Annual
Rate</t>
  </si>
  <si>
    <t>Daily</t>
  </si>
  <si>
    <t>Continuous</t>
  </si>
  <si>
    <t>WHILE TAKING THIS EXAM. YOU MAY ACCESS EXCEL'S INTERNAL HELP SYSTEM.</t>
  </si>
  <si>
    <t>The last tab contains multiple choice and true/false questions that count for</t>
  </si>
  <si>
    <t>Tell your proctor that you have finished.</t>
  </si>
  <si>
    <t>For True/False questions, enter TRUE or FALSE in the yellow cell.</t>
  </si>
  <si>
    <t>For multiple choice questions, enter the letter of the best reponse in the yellow cell.</t>
  </si>
  <si>
    <t>5.</t>
  </si>
  <si>
    <t>6.</t>
  </si>
  <si>
    <t>A.</t>
  </si>
  <si>
    <t>B.</t>
  </si>
  <si>
    <t>C.</t>
  </si>
  <si>
    <t>D.</t>
  </si>
  <si>
    <t>E.</t>
  </si>
  <si>
    <t>A and C are both correct.</t>
  </si>
  <si>
    <t>7.</t>
  </si>
  <si>
    <t>8.</t>
  </si>
  <si>
    <t>9.</t>
  </si>
  <si>
    <t>10.</t>
  </si>
  <si>
    <t>DO NOT CHANGE ANYTHING BELOW THIS LINE</t>
  </si>
  <si>
    <t>Deposit 1</t>
  </si>
  <si>
    <t>Deposit 2</t>
  </si>
  <si>
    <t>Deposit 3</t>
  </si>
  <si>
    <t>Deposit 4</t>
  </si>
  <si>
    <t>Deposit 5</t>
  </si>
  <si>
    <t>Deposit 6</t>
  </si>
  <si>
    <t>Deposit 7</t>
  </si>
  <si>
    <t>Deposit 8</t>
  </si>
  <si>
    <t>Deposit 9</t>
  </si>
  <si>
    <t>Deposit 10</t>
  </si>
  <si>
    <t>Deposit 11</t>
  </si>
  <si>
    <t>Deposit 12</t>
  </si>
  <si>
    <t>Deposit 13</t>
  </si>
  <si>
    <t>Deposit 14</t>
  </si>
  <si>
    <t>Deposit 15</t>
  </si>
  <si>
    <t>Deposit 16</t>
  </si>
  <si>
    <t>Deposit 17</t>
  </si>
  <si>
    <t>Deposit 18</t>
  </si>
  <si>
    <t>Deposit 19</t>
  </si>
  <si>
    <t>Deposit 20</t>
  </si>
  <si>
    <t>Deposit 21</t>
  </si>
  <si>
    <t>Deposit 22</t>
  </si>
  <si>
    <t>Deposit 23</t>
  </si>
  <si>
    <t>Deposit 24</t>
  </si>
  <si>
    <t>Deposit 25</t>
  </si>
  <si>
    <t>Withdrawal 1</t>
  </si>
  <si>
    <t>Withdrawal 2</t>
  </si>
  <si>
    <t>Withdrawal 3</t>
  </si>
  <si>
    <t>Withdrawal 4</t>
  </si>
  <si>
    <t>Withdrawal 5</t>
  </si>
  <si>
    <t>Withdrawal 6</t>
  </si>
  <si>
    <t>Withdrawal 7</t>
  </si>
  <si>
    <t>Withdrawal 8</t>
  </si>
  <si>
    <t>Withdrawal 9</t>
  </si>
  <si>
    <t>Withdrawal 10</t>
  </si>
  <si>
    <t>Withdrawal 11</t>
  </si>
  <si>
    <t>Withdrawal 12</t>
  </si>
  <si>
    <t>Withdrawal 13</t>
  </si>
  <si>
    <t>Withdrawal 14</t>
  </si>
  <si>
    <t>Withdrawal 15</t>
  </si>
  <si>
    <t>Withdrawal 16</t>
  </si>
  <si>
    <t>Withdrawal 17</t>
  </si>
  <si>
    <t>Withdrawal 18</t>
  </si>
  <si>
    <t>Withdrawal 19</t>
  </si>
  <si>
    <t>Withdrawal 20</t>
  </si>
  <si>
    <t>Cash</t>
  </si>
  <si>
    <t>Flow</t>
  </si>
  <si>
    <t>Account</t>
  </si>
  <si>
    <t>Date</t>
  </si>
  <si>
    <t>Action</t>
  </si>
  <si>
    <t>Do Nothing</t>
  </si>
  <si>
    <t>but the amount is not yet known. That is the amount you must compute.</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</si>
  <si>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</si>
  <si>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</si>
  <si>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</si>
  <si>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Subtract the first payment from #2</t>
  </si>
  <si>
    <t>has the same value today as #3 above</t>
  </si>
  <si>
    <t>Withdrawal 21</t>
  </si>
  <si>
    <t>Withdrawal 22</t>
  </si>
  <si>
    <t>Withdrawal 23</t>
  </si>
  <si>
    <t>Withdrawal 24</t>
  </si>
  <si>
    <t>Withdrawal 25</t>
  </si>
  <si>
    <t xml:space="preserve">In the green cell below, create a formula that extrapolates the linear trend from the </t>
  </si>
  <si>
    <t>The expected rate of return on an investment is the rate that makes the present value of the expected cash inflows equal the present value of the expected cash outflows. (True or false?)</t>
  </si>
  <si>
    <t>For all positive discount rates,</t>
  </si>
  <si>
    <t>as the discount rate increases, the future value of an investment increases.</t>
  </si>
  <si>
    <t>as the discount rate increases, the present value of an investment increases.</t>
  </si>
  <si>
    <t>A and B are both correct.</t>
  </si>
  <si>
    <t>Accounts receivable</t>
  </si>
  <si>
    <t>Account payable</t>
  </si>
  <si>
    <t>All of the above would typically maintain the same percentage relationship to sales.</t>
  </si>
  <si>
    <t>t</t>
  </si>
  <si>
    <t>Objective Section - 20 Points Possible</t>
  </si>
  <si>
    <t>20 points of the 100 point total for the exam.</t>
  </si>
  <si>
    <t>C</t>
  </si>
  <si>
    <t>The inputs below are for a monthly payment amortizing loan with a maximum term of 5 years:</t>
  </si>
  <si>
    <t>Term of Loan in Years (1 to 5)</t>
  </si>
  <si>
    <t>Payment Number</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</si>
  <si>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</si>
  <si>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</si>
  <si>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</si>
  <si>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</si>
  <si>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</si>
  <si>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</si>
  <si>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</si>
  <si>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</si>
  <si>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</si>
  <si>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</si>
  <si>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t>Balance of loan one period before the designated payment:</t>
  </si>
  <si>
    <t>Interest portion of the designated payment:</t>
  </si>
  <si>
    <t>Principal portion of the designated payment:</t>
  </si>
  <si>
    <t>Balance of loan immediately following the designated payment:</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</si>
  <si>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[ 3 Points ]</t>
    </r>
  </si>
  <si>
    <t>There are 8 tabbed pages in this exam spreadsheet including this one.</t>
  </si>
  <si>
    <t>Expected inflation increases</t>
  </si>
  <si>
    <t>More than one of the above</t>
  </si>
  <si>
    <t>11.</t>
  </si>
  <si>
    <t>12.</t>
  </si>
  <si>
    <t>13.</t>
  </si>
  <si>
    <t>14.</t>
  </si>
  <si>
    <t>15.</t>
  </si>
  <si>
    <t>The "real" rate of interest increases as the risk of an investment increases, other things equal.  (True or false?)</t>
  </si>
  <si>
    <t>Your formulas should work for any reasonable value of the input. [3 Points]</t>
  </si>
  <si>
    <t>$X</t>
  </si>
  <si>
    <t>given in the input cell. [2 Points]</t>
  </si>
  <si>
    <t>The beta (β) coefficient is a measure of a stock's undiversifiable risk when it is held in a large portfolio of stocks. (True or false?)</t>
  </si>
  <si>
    <t>The real rate of interest decreases</t>
  </si>
  <si>
    <t>Investor risk aversion increases</t>
  </si>
  <si>
    <t>The risk premium on the market portfolio decreases</t>
  </si>
  <si>
    <t xml:space="preserve">The effective annual interest rate on a loan will equal the "nominal" or "stated" </t>
  </si>
  <si>
    <t>When projecting pro-forma income statements and balance sheets using the percent of sales method, which of the following are typically not assumed to maintain the same percentage relationship to sales over time?</t>
  </si>
  <si>
    <t>D</t>
  </si>
  <si>
    <t>Any stock that is less sensitive than average to changes in general economic conditions will have a beta coefficient less than one.  (True or false?)</t>
  </si>
  <si>
    <t>PV at t=0 of all known CFs</t>
  </si>
  <si>
    <r>
      <t xml:space="preserve">create </t>
    </r>
    <r>
      <rPr>
        <b/>
        <sz val="11"/>
        <color theme="1"/>
        <rFont val="Calibri"/>
        <family val="2"/>
        <scheme val="minor"/>
      </rPr>
      <t xml:space="preserve">NO MORE THAN 4 </t>
    </r>
    <r>
      <rPr>
        <sz val="11"/>
        <color theme="1"/>
        <rFont val="Calibri"/>
        <family val="2"/>
        <scheme val="minor"/>
      </rPr>
      <t>formulas to compute the value of $X. Your formulas cannot</t>
    </r>
  </si>
  <si>
    <t>include the NPV function.  There are no inputs so you can hard-code the numbers</t>
  </si>
  <si>
    <t>in the formulas but the formulas must be shown. [4 Points]</t>
  </si>
  <si>
    <r>
      <t xml:space="preserve">In the space below, create an </t>
    </r>
    <r>
      <rPr>
        <b/>
        <sz val="11"/>
        <color theme="1"/>
        <rFont val="Calibri"/>
        <family val="2"/>
        <scheme val="minor"/>
      </rPr>
      <t>X-Y scatter chart</t>
    </r>
    <r>
      <rPr>
        <sz val="11"/>
        <color theme="1"/>
        <rFont val="Calibri"/>
        <family val="2"/>
        <scheme val="minor"/>
      </rPr>
      <t xml:space="preserve"> that shows the actual sales from </t>
    </r>
  </si>
  <si>
    <t>The account will have a zero balance after the 30 withdrawals. There will be one payout per year.</t>
  </si>
  <si>
    <t>Withdrawal 26</t>
  </si>
  <si>
    <t>Withdrawal 27</t>
  </si>
  <si>
    <t>Withdrawal 28</t>
  </si>
  <si>
    <t>Withdrawal 29</t>
  </si>
  <si>
    <t>Withdrawal 30</t>
  </si>
  <si>
    <t>OR</t>
  </si>
  <si>
    <t>#4</t>
  </si>
  <si>
    <t>projects estimated sales through 2020.  The x-axis should list the individual years</t>
  </si>
  <si>
    <t xml:space="preserve"> and begin with 2006 and end with 2020. The y-axis should be sales in dollars. [5 Points]</t>
  </si>
  <si>
    <t>A series of identical cash flows that are expected to occur at equal time periods forever is a perpetuity.  (True or false?)</t>
  </si>
  <si>
    <t>The future value of a current deposit decreases as the expected rate of inflation increases, other things equal.  (True or False?)</t>
  </si>
  <si>
    <t>According to financial theory, investors who take more risk expect to make higher returns than those who take less risk. (True or false?)</t>
  </si>
  <si>
    <t>the discount rate decreases as the risk of an investment decreases.</t>
  </si>
  <si>
    <t>In a world with no risk and no inflation, rational investors would require the "real" rate of interest to lend their money to someone else for a period of time.  (True or False?)</t>
  </si>
  <si>
    <t>Long-Term Debt</t>
  </si>
  <si>
    <t>rate on the loan only if the interest on the loan is compounded continuously. (True or false?)</t>
  </si>
  <si>
    <t>The height or y-intercept of the security market line (SML) will increase when</t>
  </si>
  <si>
    <t>The height (y-intercept) of the SML will increase when</t>
  </si>
  <si>
    <t>More than one of the above is correct</t>
  </si>
  <si>
    <t>For any positive interest rate, decreasing the compounding frequency will decrease the future value of an investment.  (True or false?)</t>
  </si>
  <si>
    <t>A borrower would always prefer a shorter compounding period for interest than a longer compounding period, other things equal.  (True or false?)</t>
  </si>
  <si>
    <t>-2 Points for each incorrect or omitted answer.</t>
  </si>
  <si>
    <t>Amount needed on 1/1/2047</t>
  </si>
  <si>
    <t>You plan to make annual deposits into your retirement account on January 1 of every year from 2019</t>
  </si>
  <si>
    <t>your retirement account to pay out $150,000 per year for 30 years starting on January 1, 2048.</t>
  </si>
  <si>
    <t xml:space="preserve">to 2043 (25 deposits). The first deposit will be $25,000. The remaining 24 deposits will all be equal to each other, </t>
  </si>
  <si>
    <t>PV of above on 01/01/2019</t>
  </si>
  <si>
    <t>Amount of each of the 24 regular payments that</t>
  </si>
  <si>
    <t>Amount needed on 1/1/2048</t>
  </si>
  <si>
    <t>The total present value of all 11 cash flows, including the four missing ones, is $18,000</t>
  </si>
  <si>
    <t>Value of unknowns at t=2</t>
  </si>
  <si>
    <t xml:space="preserve">if the discount rate is 8% per year compounded annually. The four missing cash flows, </t>
  </si>
  <si>
    <t>13 years of sales and uses it to estimate 2019 sales. [3 Points]</t>
  </si>
  <si>
    <t xml:space="preserve">Problem 5 for the years 2006 to 2018, and that includes a linear trendline that </t>
  </si>
  <si>
    <t>Percent Change in Sales from 2017</t>
  </si>
  <si>
    <t>Tax Rate for 2018</t>
  </si>
  <si>
    <t>Common Stock Dividend for 2018</t>
  </si>
  <si>
    <t>Expected addition to Plant and Equipment in 2018</t>
  </si>
  <si>
    <t>Additional depreciation on new Plant/Equip in 2018</t>
  </si>
  <si>
    <t xml:space="preserve">          Assets</t>
  </si>
  <si>
    <t>Excess/(Deficit) Financing for 2018</t>
  </si>
  <si>
    <t xml:space="preserve">the NET INCOME from the table at the right for the year </t>
  </si>
  <si>
    <t>NET INCOME</t>
  </si>
  <si>
    <t xml:space="preserve">for the first  two years, but then will pay an equal amount each year for 7 years, and then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</si>
</sst>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_);_(&quot;$&quot;* \(#,##0.0\);_(&quot;$&quot;* &quot;-&quot;?_);_(@_)"/>
  </numFmts>
  <fonts count="1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1"/>
      <color rgb="FFFF0000"/>
      <name val="Calibri"/>
      <family val="2"/>
      <scheme val="minor"/>
    </font>
    <font>
      <b/>
      <sz val="11"/>
      <color theme="1" tint="4.9989318521683403E-2"/>
      <name val="Calibri"/>
      <family val="2"/>
      <scheme val="minor"/>
    </font>
    <font>
      <b/>
      <sz val="14"/>
      <color theme="1"/>
      <name val="Calibri"/>
      <family val="2"/>
      <scheme val="minor"/>
    </font>
    <font>
      <b/>
      <sz val="14"/>
      <color rgb="FFFF0000"/>
      <name val="Calibri"/>
      <family val="2"/>
      <scheme val="minor"/>
    </font>
    <font>
      <sz val="11"/>
      <color theme="1"/>
      <name val="Calibri"/>
      <family val="2"/>
      <scheme val="minor"/>
    </font>
    <font>
      <b/>
      <sz val="12"/>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4">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8" xfId="0" applyBorder="1"/>
    <xf numFmtId="0" fontId="3" fillId="3" borderId="2" xfId="0" applyFont="1" applyFill="1" applyBorder="1" applyAlignment="1">
      <alignment horizontal="center" wrapText="1"/>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6" borderId="13" xfId="0" quotePrefix="1" applyNumberFormat="1" applyFont="1" applyFill="1" applyBorder="1" applyAlignment="1">
      <alignment horizontal="center"/>
    </xf>
    <xf numFmtId="165" fontId="0" fillId="0" borderId="0" xfId="3" applyNumberFormat="1" applyFont="1"/>
    <xf numFmtId="41" fontId="0" fillId="0" borderId="8" xfId="0" applyNumberFormat="1" applyBorder="1"/>
    <xf numFmtId="41" fontId="8" fillId="6" borderId="13" xfId="0" applyNumberFormat="1" applyFont="1" applyFill="1" applyBorder="1"/>
    <xf numFmtId="41" fontId="9" fillId="0" borderId="0" xfId="0" applyNumberFormat="1" applyFont="1"/>
    <xf numFmtId="41" fontId="8" fillId="0" borderId="0" xfId="0" applyNumberFormat="1" applyFont="1"/>
    <xf numFmtId="41" fontId="8" fillId="0" borderId="8" xfId="0" applyNumberFormat="1" applyFont="1" applyBorder="1"/>
    <xf numFmtId="41" fontId="3" fillId="0" borderId="8" xfId="0" applyNumberFormat="1" applyFont="1" applyBorder="1"/>
    <xf numFmtId="44" fontId="9" fillId="0" borderId="0" xfId="0" applyNumberFormat="1" applyFont="1" applyAlignment="1">
      <alignment horizontal="left" indent="1"/>
    </xf>
    <xf numFmtId="44" fontId="8" fillId="0" borderId="0" xfId="0" applyNumberFormat="1" applyFont="1"/>
    <xf numFmtId="44" fontId="8" fillId="0" borderId="8" xfId="0" applyNumberFormat="1" applyFont="1" applyBorder="1"/>
    <xf numFmtId="44" fontId="10" fillId="0" borderId="0" xfId="0" applyNumberFormat="1" applyFont="1" applyAlignment="1">
      <alignment horizontal="left" indent="1"/>
    </xf>
    <xf numFmtId="41" fontId="3" fillId="0" borderId="0" xfId="0" applyNumberFormat="1" applyFont="1" applyAlignment="1">
      <alignment horizontal="left" indent="5"/>
    </xf>
    <xf numFmtId="41" fontId="3" fillId="0" borderId="8" xfId="0" applyNumberFormat="1" applyFont="1" applyBorder="1" applyAlignment="1">
      <alignment horizontal="left" indent="5"/>
    </xf>
    <xf numFmtId="6" fontId="11" fillId="0" borderId="8" xfId="0" applyNumberFormat="1" applyFont="1" applyBorder="1"/>
    <xf numFmtId="0" fontId="0" fillId="0" borderId="0" xfId="0" applyAlignment="1">
      <alignment horizontal="left" indent="3"/>
    </xf>
    <xf numFmtId="0" fontId="0" fillId="0" borderId="8"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0" borderId="0" xfId="0" applyNumberFormat="1"/>
    <xf numFmtId="164" fontId="2" fillId="0" borderId="0" xfId="0" applyNumberFormat="1" applyFont="1"/>
    <xf numFmtId="0" fontId="2" fillId="0" borderId="0" xfId="0" applyNumberFormat="1" applyFont="1" applyAlignment="1">
      <alignment horizontal="center"/>
    </xf>
    <xf numFmtId="8" fontId="0" fillId="0" borderId="0" xfId="2" applyNumberFormat="1" applyFont="1"/>
    <xf numFmtId="10" fontId="0" fillId="0" borderId="0" xfId="3" applyNumberFormat="1" applyFont="1"/>
    <xf numFmtId="8" fontId="0" fillId="2" borderId="1" xfId="0" applyNumberFormat="1" applyFill="1" applyBorder="1"/>
    <xf numFmtId="10" fontId="0" fillId="0" borderId="0" xfId="0" applyNumberFormat="1"/>
    <xf numFmtId="165" fontId="0" fillId="2" borderId="1" xfId="3" applyNumberFormat="1" applyFont="1" applyFill="1" applyBorder="1"/>
    <xf numFmtId="10" fontId="2" fillId="0" borderId="0" xfId="3" applyNumberFormat="1" applyFont="1"/>
    <xf numFmtId="0" fontId="0" fillId="0" borderId="0" xfId="0"/>
    <xf numFmtId="8" fontId="0" fillId="0" borderId="0" xfId="0" applyNumberFormat="1"/>
    <xf numFmtId="0" fontId="0" fillId="0" borderId="8" xfId="0" applyBorder="1"/>
    <xf numFmtId="0" fontId="0" fillId="0" borderId="0" xfId="0" quotePrefix="1"/>
    <xf numFmtId="10" fontId="0" fillId="7" borderId="1" xfId="0" applyNumberFormat="1" applyFill="1" applyBorder="1"/>
    <xf numFmtId="0" fontId="0" fillId="0" borderId="0" xfId="0"/>
    <xf numFmtId="0" fontId="0" fillId="0" borderId="0" xfId="0"/>
    <xf numFmtId="0" fontId="0" fillId="0" borderId="9" xfId="0"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164" fontId="2" fillId="0" borderId="1" xfId="2" applyNumberFormat="1" applyFont="1" applyBorder="1" applyAlignment="1">
      <alignment horizontal="center"/>
    </xf>
    <xf numFmtId="0" fontId="0" fillId="0" borderId="5" xfId="0" applyBorder="1" applyAlignment="1">
      <alignment horizontal="center"/>
    </xf>
    <xf numFmtId="164" fontId="1" fillId="0" borderId="6" xfId="2" applyNumberFormat="1" applyFont="1" applyBorder="1" applyAlignment="1">
      <alignment horizontal="center"/>
    </xf>
    <xf numFmtId="0" fontId="0" fillId="0" borderId="15" xfId="0" applyBorder="1" applyAlignment="1">
      <alignment horizontal="center"/>
    </xf>
    <xf numFmtId="0" fontId="0" fillId="0" borderId="0" xfId="0"/>
    <xf numFmtId="0" fontId="0" fillId="0" borderId="0" xfId="0"/>
    <xf numFmtId="0" fontId="0" fillId="0" borderId="8" xfId="0" applyBorder="1"/>
    <xf numFmtId="0" fontId="0" fillId="0" borderId="0" xfId="0" applyAlignment="1">
      <alignment horizontal="center"/>
    </xf>
    <xf numFmtId="0" fontId="0" fillId="0" borderId="0" xfId="0" quotePrefix="1"/>
    <xf numFmtId="165" fontId="0" fillId="2" borderId="1" xfId="3" applyNumberFormat="1" applyFont="1" applyFill="1" applyBorder="1"/>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6" xfId="3" applyNumberFormat="1" applyFont="1" applyFill="1" applyBorder="1"/>
    <xf numFmtId="0" fontId="3" fillId="0" borderId="14" xfId="0" applyFont="1" applyBorder="1" applyAlignment="1">
      <alignment horizontal="center" wrapText="1"/>
    </xf>
    <xf numFmtId="0" fontId="0" fillId="0" borderId="8" xfId="0" applyBorder="1" applyAlignment="1">
      <alignment horizontal="center"/>
    </xf>
    <xf numFmtId="0" fontId="0" fillId="0" borderId="0" xfId="0"/>
    <xf numFmtId="0" fontId="3" fillId="4" borderId="5" xfId="0" applyFont="1" applyFill="1" applyBorder="1" applyAlignment="1">
      <alignment horizontal="center"/>
    </xf>
    <xf numFmtId="0" fontId="3" fillId="4" borderId="9" xfId="0" applyFont="1" applyFill="1" applyBorder="1" applyAlignment="1">
      <alignment horizontal="center"/>
    </xf>
    <xf numFmtId="164" fontId="0" fillId="5" borderId="7" xfId="2" applyNumberFormat="1" applyFont="1" applyFill="1" applyBorder="1"/>
    <xf numFmtId="41" fontId="5" fillId="0" borderId="0" xfId="0" applyNumberFormat="1" applyFont="1"/>
    <xf numFmtId="164" fontId="0" fillId="4" borderId="6" xfId="2" applyNumberFormat="1" applyFont="1" applyFill="1" applyBorder="1"/>
    <xf numFmtId="0" fontId="0" fillId="0" borderId="0" xfId="0"/>
    <xf numFmtId="0" fontId="3" fillId="0" borderId="0" xfId="0" applyFont="1" applyAlignment="1">
      <alignment horizontal="center"/>
    </xf>
    <xf numFmtId="14" fontId="0" fillId="0" borderId="0" xfId="0" applyNumberFormat="1"/>
    <xf numFmtId="0" fontId="0" fillId="0" borderId="0" xfId="0" applyAlignment="1">
      <alignment horizontal="left" indent="1"/>
    </xf>
    <xf numFmtId="43" fontId="0" fillId="2" borderId="1" xfId="1" applyFont="1" applyFill="1" applyBorder="1"/>
    <xf numFmtId="8" fontId="0" fillId="0" borderId="0" xfId="0" applyNumberFormat="1"/>
    <xf numFmtId="0" fontId="0" fillId="0" borderId="0" xfId="0"/>
    <xf numFmtId="0" fontId="0" fillId="0" borderId="0" xfId="0" quotePrefix="1"/>
    <xf numFmtId="164" fontId="2" fillId="0" borderId="1" xfId="2" applyNumberFormat="1" applyFont="1" applyBorder="1" applyAlignment="1">
      <alignment horizontal="center"/>
    </xf>
    <xf numFmtId="164" fontId="1" fillId="0" borderId="6" xfId="2" applyNumberFormat="1" applyFont="1" applyBorder="1" applyAlignment="1">
      <alignment horizontal="center"/>
    </xf>
    <xf numFmtId="0" fontId="0" fillId="0" borderId="0" xfId="0"/>
    <xf numFmtId="8" fontId="0" fillId="0" borderId="0" xfId="0" applyNumberFormat="1"/>
    <xf numFmtId="8" fontId="0" fillId="0" borderId="0" xfId="0" applyNumberFormat="1"/>
    <xf numFmtId="6" fontId="11" fillId="0" borderId="0" xfId="0" applyNumberFormat="1" applyFont="1"/>
    <xf numFmtId="166" fontId="11" fillId="0" borderId="0" xfId="0" applyNumberFormat="1" applyFont="1"/>
    <xf numFmtId="165" fontId="11" fillId="0" borderId="0" xfId="0" applyNumberFormat="1" applyFont="1"/>
    <xf numFmtId="0" fontId="0" fillId="0" borderId="0" xfId="0"/>
    <xf numFmtId="0" fontId="3" fillId="0" borderId="0" xfId="0" applyFont="1"/>
    <xf numFmtId="0" fontId="3" fillId="0" borderId="0" xfId="0" applyFont="1" applyAlignment="1">
      <alignment horizontal="center"/>
    </xf>
    <xf numFmtId="0" fontId="13" fillId="0" borderId="0" xfId="0" applyFont="1" applyAlignment="1">
      <alignment horizontal="center" vertical="center"/>
    </xf>
    <xf numFmtId="0" fontId="3" fillId="0" borderId="0" xfId="0" quotePrefix="1" applyFont="1" applyAlignment="1">
      <alignment horizontal="center"/>
    </xf>
    <xf numFmtId="0" fontId="0" fillId="0" borderId="0" xfId="0"/>
    <xf numFmtId="0" fontId="8" fillId="6" borderId="14" xfId="0" quotePrefix="1" applyNumberFormat="1" applyFont="1" applyFill="1" applyBorder="1" applyAlignment="1">
      <alignment horizontal="center" vertical="center"/>
    </xf>
    <xf numFmtId="0" fontId="3" fillId="2" borderId="1" xfId="0" applyFont="1" applyFill="1" applyBorder="1" applyAlignment="1">
      <alignment horizontal="center"/>
    </xf>
    <xf numFmtId="0" fontId="0" fillId="0" borderId="0" xfId="0" quotePrefix="1" applyAlignment="1">
      <alignment horizontal="right" vertical="center"/>
    </xf>
    <xf numFmtId="0" fontId="0" fillId="0" borderId="0" xfId="0"/>
    <xf numFmtId="0" fontId="0" fillId="0" borderId="0" xfId="0" applyAlignment="1">
      <alignment horizontal="left" vertical="top" wrapText="1"/>
    </xf>
    <xf numFmtId="164" fontId="11" fillId="0" borderId="17" xfId="2" applyNumberFormat="1" applyFont="1" applyBorder="1"/>
    <xf numFmtId="0" fontId="11" fillId="0" borderId="17" xfId="0" applyFont="1" applyBorder="1"/>
    <xf numFmtId="10" fontId="11" fillId="0" borderId="17" xfId="0" applyNumberFormat="1" applyFont="1" applyBorder="1"/>
    <xf numFmtId="164" fontId="11" fillId="0" borderId="0" xfId="2" applyNumberFormat="1" applyFont="1" applyBorder="1"/>
    <xf numFmtId="0" fontId="11" fillId="7" borderId="17" xfId="0" applyFont="1" applyFill="1" applyBorder="1"/>
    <xf numFmtId="0" fontId="3" fillId="0" borderId="0" xfId="0" applyFont="1" applyAlignment="1">
      <alignment horizontal="left"/>
    </xf>
    <xf numFmtId="0" fontId="3" fillId="0" borderId="0" xfId="0" applyFont="1" applyAlignment="1">
      <alignment horizontal="left" indent="2"/>
    </xf>
    <xf numFmtId="0" fontId="0" fillId="0" borderId="0" xfId="0" applyAlignment="1">
      <alignment horizontal="left" vertical="top" wrapText="1"/>
    </xf>
    <xf numFmtId="44" fontId="0" fillId="0" borderId="0" xfId="0" applyNumberFormat="1"/>
    <xf numFmtId="0" fontId="0" fillId="0" borderId="18" xfId="0" applyBorder="1" applyAlignment="1">
      <alignment horizontal="center"/>
    </xf>
    <xf numFmtId="164" fontId="1" fillId="0" borderId="19" xfId="2" applyNumberFormat="1" applyFont="1" applyBorder="1" applyAlignment="1">
      <alignment horizontal="center"/>
    </xf>
    <xf numFmtId="164" fontId="1" fillId="0" borderId="7" xfId="2" applyNumberFormat="1" applyFont="1" applyBorder="1" applyAlignment="1">
      <alignment horizontal="center"/>
    </xf>
    <xf numFmtId="164" fontId="0" fillId="0" borderId="6" xfId="2" applyNumberFormat="1" applyFont="1" applyBorder="1" applyAlignment="1">
      <alignment horizontal="center"/>
    </xf>
    <xf numFmtId="167" fontId="0" fillId="0" borderId="0" xfId="0" applyNumberFormat="1"/>
    <xf numFmtId="0" fontId="3" fillId="4" borderId="20" xfId="0" applyFont="1" applyFill="1" applyBorder="1" applyAlignment="1">
      <alignment horizontal="center"/>
    </xf>
    <xf numFmtId="164" fontId="0" fillId="4" borderId="19" xfId="2" applyNumberFormat="1" applyFont="1" applyFill="1" applyBorder="1"/>
    <xf numFmtId="0" fontId="0" fillId="0" borderId="0" xfId="0" applyAlignment="1">
      <alignment vertical="top" wrapText="1"/>
    </xf>
    <xf numFmtId="41" fontId="8" fillId="6" borderId="14" xfId="0" quotePrefix="1" applyNumberFormat="1" applyFont="1" applyFill="1" applyBorder="1" applyAlignment="1">
      <alignment horizontal="center" vertical="center"/>
    </xf>
    <xf numFmtId="0" fontId="0" fillId="0" borderId="21" xfId="0" applyBorder="1"/>
    <xf numFmtId="0" fontId="3" fillId="4" borderId="2" xfId="0" applyFont="1" applyFill="1" applyBorder="1" applyAlignment="1">
      <alignment horizontal="center"/>
    </xf>
    <xf numFmtId="0" fontId="3" fillId="4" borderId="3" xfId="0" applyFont="1" applyFill="1" applyBorder="1" applyAlignment="1">
      <alignment horizontal="center"/>
    </xf>
    <xf numFmtId="0" fontId="0" fillId="0" borderId="0" xfId="0" quotePrefix="1" applyAlignment="1">
      <alignment horizontal="center"/>
    </xf>
    <xf numFmtId="0" fontId="3" fillId="4" borderId="15" xfId="0" applyFont="1" applyFill="1" applyBorder="1" applyAlignment="1">
      <alignment horizontal="center"/>
    </xf>
    <xf numFmtId="164" fontId="0" fillId="4" borderId="22" xfId="2" applyNumberFormat="1" applyFont="1" applyFill="1" applyBorder="1"/>
    <xf numFmtId="41" fontId="0" fillId="2" borderId="0" xfId="0" applyNumberFormat="1" applyFill="1"/>
    <xf numFmtId="41" fontId="5" fillId="2" borderId="0" xfId="0" applyNumberFormat="1" applyFont="1" applyFill="1"/>
    <xf numFmtId="41" fontId="8" fillId="6" borderId="14" xfId="0" quotePrefix="1" applyNumberFormat="1" applyFont="1" applyFill="1" applyBorder="1" applyAlignment="1">
      <alignment horizontal="center" vertical="center"/>
    </xf>
    <xf numFmtId="0" fontId="14" fillId="0" borderId="0" xfId="0" applyFont="1"/>
    <xf numFmtId="0" fontId="15" fillId="0" borderId="0" xfId="0" applyFont="1"/>
    <xf numFmtId="0" fontId="16" fillId="0" borderId="0" xfId="0" applyFont="1"/>
    <xf numFmtId="0" fontId="3" fillId="2" borderId="14" xfId="0" applyFont="1" applyFill="1" applyBorder="1" applyAlignment="1">
      <alignment horizontal="center"/>
    </xf>
    <xf numFmtId="0" fontId="13" fillId="0" borderId="0" xfId="0" applyFont="1" applyAlignment="1">
      <alignment horizontal="center"/>
    </xf>
    <xf numFmtId="0" fontId="3" fillId="2" borderId="14" xfId="0" applyFont="1" applyFill="1" applyBorder="1" applyAlignment="1">
      <alignment horizontal="center" vertical="center"/>
    </xf>
    <xf numFmtId="8" fontId="0" fillId="2" borderId="11" xfId="2" applyNumberFormat="1" applyFont="1" applyFill="1" applyBorder="1"/>
    <xf numFmtId="44" fontId="0" fillId="2" borderId="12" xfId="2" applyFont="1" applyFill="1" applyBorder="1"/>
    <xf numFmtId="41" fontId="8" fillId="6" borderId="14" xfId="0" applyNumberFormat="1" applyFont="1" applyFill="1" applyBorder="1" applyAlignment="1">
      <alignment horizontal="center" vertical="center"/>
    </xf>
    <xf numFmtId="41" fontId="8" fillId="6" borderId="14" xfId="0" quotePrefix="1" applyNumberFormat="1" applyFont="1" applyFill="1" applyBorder="1" applyAlignment="1">
      <alignment horizontal="center" vertical="center"/>
    </xf>
    <xf numFmtId="41" fontId="7" fillId="0" borderId="8" xfId="0" applyNumberFormat="1" applyFont="1" applyBorder="1" applyAlignment="1">
      <alignment horizontal="center"/>
    </xf>
    <xf numFmtId="0" fontId="0" fillId="0" borderId="0" xfId="0" applyAlignment="1">
      <alignment horizontal="left" vertical="top" wrapText="1"/>
    </xf>
    <xf numFmtId="0" fontId="3" fillId="8" borderId="11"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2" xfId="0" applyFont="1" applyFill="1" applyBorder="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Actual</a:t>
            </a:r>
            <a:r>
              <a:rPr lang="en-US" b="1" baseline="0"/>
              <a:t> and Projected Sales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63591426071741"/>
          <c:y val="0.17634259259259263"/>
          <c:w val="0.77775196850393702"/>
          <c:h val="0.72088764946048411"/>
        </c:manualLayout>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22225" cap="rnd">
                <a:solidFill>
                  <a:schemeClr val="tx1"/>
                </a:solidFill>
                <a:prstDash val="sysDot"/>
              </a:ln>
              <a:effectLst/>
            </c:spPr>
            <c:trendlineType val="linear"/>
            <c:forward val="4"/>
            <c:dispRSqr val="0"/>
            <c:dispEq val="0"/>
          </c:trendline>
          <c:trendline>
            <c:spPr>
              <a:ln w="19050" cap="rnd">
                <a:solidFill>
                  <a:schemeClr val="accent1"/>
                </a:solidFill>
                <a:prstDash val="sysDot"/>
              </a:ln>
              <a:effectLst/>
            </c:spPr>
            <c:trendlineType val="linear"/>
            <c:dispRSqr val="0"/>
            <c:dispEq val="0"/>
          </c:trendline>
          <c:xVal>
            <c:numRef>
              <c:f>'P5 - 20 Pts'!$C$97:$C$109</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xVal>
          <c:yVal>
            <c:numRef>
              <c:f>'P5 - 20 Pts'!$D$97:$D$109</c:f>
              <c:numCache>
                <c:formatCode>_("$"* #,##0_);_("$"* \(#,##0\);_("$"* "-"??_);_(@_)</c:formatCode>
                <c:ptCount val="13"/>
                <c:pt idx="0">
                  <c:v>1075050</c:v>
                </c:pt>
                <c:pt idx="1">
                  <c:v>948500</c:v>
                </c:pt>
                <c:pt idx="2">
                  <c:v>796845</c:v>
                </c:pt>
                <c:pt idx="3">
                  <c:v>856210</c:v>
                </c:pt>
                <c:pt idx="4">
                  <c:v>1055600</c:v>
                </c:pt>
                <c:pt idx="5">
                  <c:v>1321800</c:v>
                </c:pt>
                <c:pt idx="6">
                  <c:v>1216500</c:v>
                </c:pt>
                <c:pt idx="7">
                  <c:v>1429500</c:v>
                </c:pt>
                <c:pt idx="8">
                  <c:v>1562540</c:v>
                </c:pt>
                <c:pt idx="9">
                  <c:v>1386540</c:v>
                </c:pt>
                <c:pt idx="10">
                  <c:v>1486550</c:v>
                </c:pt>
                <c:pt idx="11">
                  <c:v>1362500</c:v>
                </c:pt>
                <c:pt idx="12">
                  <c:v>1598650</c:v>
                </c:pt>
              </c:numCache>
            </c:numRef>
          </c:yVal>
          <c:smooth val="0"/>
          <c:extLst>
            <c:ext xmlns:c16="http://schemas.microsoft.com/office/drawing/2014/chart" uri="{C3380CC4-5D6E-409C-BE32-E72D297353CC}">
              <c16:uniqueId val="{00000000-C015-40A6-AA96-DB5B88B17676}"/>
            </c:ext>
          </c:extLst>
        </c:ser>
        <c:dLbls>
          <c:showLegendKey val="0"/>
          <c:showVal val="0"/>
          <c:showCatName val="0"/>
          <c:showSerName val="0"/>
          <c:showPercent val="0"/>
          <c:showBubbleSize val="0"/>
        </c:dLbls>
        <c:axId val="-1412453120"/>
        <c:axId val="-1412448224"/>
      </c:scatterChart>
      <c:valAx>
        <c:axId val="-1412453120"/>
        <c:scaling>
          <c:orientation val="minMax"/>
          <c:max val="2020"/>
          <c:min val="2006"/>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412448224"/>
        <c:crosses val="autoZero"/>
        <c:crossBetween val="midCat"/>
        <c:majorUnit val="1"/>
      </c:valAx>
      <c:valAx>
        <c:axId val="-14124482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412453120"/>
        <c:crosses val="autoZero"/>
        <c:crossBetween val="midCat"/>
      </c:valAx>
      <c:spPr>
        <a:noFill/>
        <a:ln>
          <a:noFill/>
        </a:ln>
        <a:effectLst/>
      </c:spPr>
    </c:plotArea>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16</xdr:row>
      <xdr:rowOff>182217</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04306" y="104912"/>
          <a:ext cx="7454347" cy="29927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Use the space</a:t>
          </a:r>
          <a:r>
            <a:rPr lang="en-US" sz="1100" baseline="0"/>
            <a:t> beginning in Row 29 to create an amoritzation table model that will work for ANY ALLOWABLE values of the inputs. User-changeable inputs are in red. Create restrictions on the input cells that prevent users from entering values that are not allowed.</a:t>
          </a:r>
        </a:p>
        <a:p>
          <a:endParaRPr lang="en-US" sz="1100" baseline="0"/>
        </a:p>
        <a:p>
          <a:r>
            <a:rPr lang="en-US" sz="1100" baseline="0"/>
            <a:t>The amount of the loan must be a positive number.</a:t>
          </a:r>
        </a:p>
        <a:p>
          <a:r>
            <a:rPr lang="en-US" sz="1100" baseline="0"/>
            <a:t>The balloon payment must be a positive number or zero and must be less than the amount of the loan. </a:t>
          </a:r>
        </a:p>
        <a:p>
          <a:r>
            <a:rPr lang="en-US" sz="1100" baseline="0"/>
            <a:t>The term of the loan can be 1, 2, 3, 4, or 5 years.</a:t>
          </a:r>
        </a:p>
        <a:p>
          <a:r>
            <a:rPr lang="en-US" sz="1100" baseline="0"/>
            <a:t>The interest rate can be between 4% and 10%.</a:t>
          </a:r>
        </a:p>
        <a:p>
          <a:r>
            <a:rPr lang="en-US" sz="1100" baseline="0"/>
            <a:t>The payment frequency can be annual, quarterly, or monthly. Use a drop-down list in Cell F25 with "Annual", "Quarterly" and "Monthly" as the choices. Use the results from that cell to set the payment frequency for computation in the table.</a:t>
          </a:r>
        </a:p>
        <a:p>
          <a:endParaRPr lang="en-US" sz="1100" baseline="0"/>
        </a:p>
        <a:p>
          <a:r>
            <a:rPr lang="en-US" sz="1100" baseline="0"/>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sz="1100" baseline="0"/>
        </a:p>
        <a:p>
          <a:r>
            <a:rPr lang="en-US" sz="1100" baseline="0"/>
            <a:t>In cell H22, create a formula that computes the total dollar amount of interest that will be paid over the life of the loan. given the inputs.</a:t>
          </a:r>
        </a:p>
        <a:p>
          <a:endParaRPr lang="en-US" sz="1100" baseline="0"/>
        </a:p>
        <a:p>
          <a:r>
            <a:rPr lang="en-US" sz="1100" baseline="0"/>
            <a:t>In cell H25, create a formula that computes the effective annual interest rate for the loan given the inputs.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same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412750</xdr:colOff>
      <xdr:row>31</xdr:row>
      <xdr:rowOff>39370</xdr:rowOff>
    </xdr:from>
    <xdr:to>
      <xdr:col>8</xdr:col>
      <xdr:colOff>419100</xdr:colOff>
      <xdr:row>37</xdr:row>
      <xdr:rowOff>58420</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1317625" y="5982970"/>
          <a:ext cx="4340225" cy="1162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t>The proof</a:t>
          </a:r>
          <a:r>
            <a:rPr lang="en-US" sz="2400" b="1" baseline="0"/>
            <a:t> that this solution is correct is to the right.</a:t>
          </a:r>
        </a:p>
        <a:p>
          <a:pPr algn="l"/>
          <a:endParaRPr lang="en-US" sz="2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19050</xdr:colOff>
      <xdr:row>9</xdr:row>
      <xdr:rowOff>124558</xdr:rowOff>
    </xdr:to>
    <xdr:sp macro="" textlink="">
      <xdr:nvSpPr>
        <xdr:cNvPr id="2" name="Line Callout 1 1">
          <a:extLst>
            <a:ext uri="{FF2B5EF4-FFF2-40B4-BE49-F238E27FC236}">
              <a16:creationId xmlns:a16="http://schemas.microsoft.com/office/drawing/2014/main" id="{00000000-0008-0000-0400-000002000000}"/>
            </a:ext>
          </a:extLst>
        </xdr:cNvPr>
        <xdr:cNvSpPr/>
      </xdr:nvSpPr>
      <xdr:spPr>
        <a:xfrm>
          <a:off x="4483345" y="542192"/>
          <a:ext cx="2917580" cy="1296866"/>
        </a:xfrm>
        <a:prstGeom prst="borderCallout1">
          <a:avLst>
            <a:gd name="adj1" fmla="val 18750"/>
            <a:gd name="adj2" fmla="val -8333"/>
            <a:gd name="adj3" fmla="val 75979"/>
            <a:gd name="adj4" fmla="val -3061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r>
            <a:rPr lang="en-US" sz="1100" b="1">
              <a:solidFill>
                <a:schemeClr val="lt1"/>
              </a:solidFill>
              <a:effectLst/>
              <a:latin typeface="+mn-lt"/>
              <a:ea typeface="+mn-ea"/>
              <a:cs typeface="+mn-cs"/>
            </a:rPr>
            <a:t>Enter the number of the payment for which you want to compute the</a:t>
          </a:r>
          <a:r>
            <a:rPr lang="en-US" sz="1100" b="1" baseline="0">
              <a:solidFill>
                <a:schemeClr val="lt1"/>
              </a:solidFill>
              <a:effectLst/>
              <a:latin typeface="+mn-lt"/>
              <a:ea typeface="+mn-ea"/>
              <a:cs typeface="+mn-cs"/>
            </a:rPr>
            <a:t> required outputs. For example, the 14th montly payment would be entered as 14. You can enter any number between 1 and 60. Your output must work for any allowable input</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a:extLst>
            <a:ext uri="{FF2B5EF4-FFF2-40B4-BE49-F238E27FC236}">
              <a16:creationId xmlns:a16="http://schemas.microsoft.com/office/drawing/2014/main" id="{00000000-0008-0000-0500-000002000000}"/>
            </a:ext>
          </a:extLst>
        </xdr:cNvPr>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twoCellAnchor>
    <xdr:from>
      <xdr:col>2</xdr:col>
      <xdr:colOff>223158</xdr:colOff>
      <xdr:row>117</xdr:row>
      <xdr:rowOff>38100</xdr:rowOff>
    </xdr:from>
    <xdr:to>
      <xdr:col>7</xdr:col>
      <xdr:colOff>811696</xdr:colOff>
      <xdr:row>132</xdr:row>
      <xdr:rowOff>49695</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228599</xdr:colOff>
      <xdr:row>0</xdr:row>
      <xdr:rowOff>180974</xdr:rowOff>
    </xdr:from>
    <xdr:to>
      <xdr:col>7</xdr:col>
      <xdr:colOff>0</xdr:colOff>
      <xdr:row>21</xdr:row>
      <xdr:rowOff>171174</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28599" y="180974"/>
          <a:ext cx="5857876" cy="3990700"/>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to forecast the 2018 pro forma income statement and balance sheet for the firm whose 2016 and 2017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2018 is expected to change with sales by 95% of the two-year arithmetic average of the proportion of this item in relation to sales</a:t>
          </a:r>
          <a:r>
            <a:rPr lang="en-US" sz="1100" b="1" baseline="0">
              <a:solidFill>
                <a:schemeClr val="dk1"/>
              </a:solidFill>
              <a:effectLst/>
              <a:latin typeface="+mn-lt"/>
              <a:ea typeface="+mn-ea"/>
              <a:cs typeface="+mn-cs"/>
            </a:rPr>
            <a:t> for 2016 and 2017.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2016 and 2017</a:t>
          </a:r>
          <a:r>
            <a:rPr lang="en-US" sz="1100" b="1">
              <a:solidFill>
                <a:schemeClr val="dk1"/>
              </a:solidFill>
              <a:effectLst/>
              <a:latin typeface="+mn-lt"/>
              <a:ea typeface="+mn-ea"/>
              <a:cs typeface="+mn-cs"/>
            </a:rPr>
            <a:t>.  The firm has planned an investment of $350,000 in new equipment </a:t>
          </a:r>
          <a:r>
            <a:rPr lang="en-US" sz="1100" b="1" baseline="0">
              <a:solidFill>
                <a:schemeClr val="dk1"/>
              </a:solidFill>
              <a:effectLst/>
              <a:latin typeface="+mn-lt"/>
              <a:ea typeface="+mn-ea"/>
              <a:cs typeface="+mn-cs"/>
            </a:rPr>
            <a:t>in 2018.  This equipment will be depreciated at $75,000 per year. Depreciation on existing Plant/Equipment will be the same as it was in 2017.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2018 is computed on the 2017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2018 using the information above, the inputs below, and the values that are given in the statements. The 2018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2018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8"/>
  <sheetViews>
    <sheetView showGridLines="0" tabSelected="1" zoomScale="145" zoomScaleNormal="145" workbookViewId="0"/>
  </sheetViews>
  <sheetFormatPr defaultRowHeight="15" x14ac:dyDescent="0.25"/>
  <cols>
    <col min="1" max="1" width="2.7109375" style="140" customWidth="1"/>
    <col min="2" max="16384" width="9.140625" style="140"/>
  </cols>
  <sheetData>
    <row r="2" spans="2:2" ht="18.75" x14ac:dyDescent="0.3">
      <c r="B2" s="139" t="s">
        <v>52</v>
      </c>
    </row>
    <row r="3" spans="2:2" ht="18.75" x14ac:dyDescent="0.3">
      <c r="B3" s="139" t="s">
        <v>72</v>
      </c>
    </row>
    <row r="4" spans="2:2" ht="18.75" x14ac:dyDescent="0.3">
      <c r="B4" s="139" t="s">
        <v>58</v>
      </c>
    </row>
    <row r="5" spans="2:2" ht="6" customHeight="1" x14ac:dyDescent="0.3">
      <c r="B5" s="139"/>
    </row>
    <row r="6" spans="2:2" ht="16.5" customHeight="1" x14ac:dyDescent="0.3">
      <c r="B6" s="139" t="s">
        <v>99</v>
      </c>
    </row>
    <row r="7" spans="2:2" ht="16.5" customHeight="1" x14ac:dyDescent="0.3">
      <c r="B7" s="139" t="s">
        <v>100</v>
      </c>
    </row>
    <row r="8" spans="2:2" ht="16.5" customHeight="1" x14ac:dyDescent="0.3">
      <c r="B8" s="139" t="s">
        <v>121</v>
      </c>
    </row>
    <row r="9" spans="2:2" ht="4.5" customHeight="1" x14ac:dyDescent="0.3">
      <c r="B9" s="139"/>
    </row>
    <row r="10" spans="2:2" ht="15" customHeight="1" x14ac:dyDescent="0.3">
      <c r="B10" s="139" t="s">
        <v>53</v>
      </c>
    </row>
    <row r="11" spans="2:2" ht="16.5" customHeight="1" x14ac:dyDescent="0.3">
      <c r="B11" s="139"/>
    </row>
    <row r="12" spans="2:2" ht="17.649999999999999" customHeight="1" x14ac:dyDescent="0.25">
      <c r="B12" s="140" t="s">
        <v>232</v>
      </c>
    </row>
    <row r="13" spans="2:2" ht="18.75" x14ac:dyDescent="0.3">
      <c r="B13" s="139"/>
    </row>
    <row r="14" spans="2:2" ht="20.45" customHeight="1" x14ac:dyDescent="0.25">
      <c r="B14" s="140" t="s">
        <v>54</v>
      </c>
    </row>
    <row r="15" spans="2:2" x14ac:dyDescent="0.25">
      <c r="B15" s="140" t="s">
        <v>122</v>
      </c>
    </row>
    <row r="16" spans="2:2" x14ac:dyDescent="0.25">
      <c r="B16" s="140" t="s">
        <v>212</v>
      </c>
    </row>
    <row r="18" spans="2:3" ht="17.649999999999999" customHeight="1" x14ac:dyDescent="0.25">
      <c r="B18" s="141" t="s">
        <v>101</v>
      </c>
    </row>
    <row r="19" spans="2:3" ht="17.649999999999999" customHeight="1" x14ac:dyDescent="0.25">
      <c r="B19" s="141" t="s">
        <v>102</v>
      </c>
    </row>
    <row r="20" spans="2:3" ht="17.649999999999999" customHeight="1" x14ac:dyDescent="0.25"/>
    <row r="21" spans="2:3" ht="14.65" customHeight="1" x14ac:dyDescent="0.25">
      <c r="B21" s="140" t="s">
        <v>73</v>
      </c>
    </row>
    <row r="23" spans="2:3" ht="19.5" customHeight="1" x14ac:dyDescent="0.25">
      <c r="C23" s="140" t="s">
        <v>74</v>
      </c>
    </row>
    <row r="24" spans="2:3" x14ac:dyDescent="0.25">
      <c r="C24" s="140" t="s">
        <v>103</v>
      </c>
    </row>
    <row r="25" spans="2:3" x14ac:dyDescent="0.25">
      <c r="C25" s="140" t="s">
        <v>123</v>
      </c>
    </row>
    <row r="28" spans="2:3" x14ac:dyDescent="0.25">
      <c r="C28" s="140" t="s">
        <v>104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W90"/>
  <sheetViews>
    <sheetView zoomScale="115" zoomScaleNormal="115" workbookViewId="0"/>
  </sheetViews>
  <sheetFormatPr defaultRowHeight="15" x14ac:dyDescent="0.25"/>
  <cols>
    <col min="1" max="2" width="2.7109375" customWidth="1"/>
    <col min="3" max="6" width="14.7109375" customWidth="1"/>
    <col min="7" max="7" width="16.28515625" customWidth="1"/>
    <col min="8" max="8" width="13.28515625" customWidth="1"/>
    <col min="9" max="9" width="8.7109375" customWidth="1"/>
  </cols>
  <sheetData>
    <row r="5" spans="23:23" ht="75" customHeight="1" x14ac:dyDescent="0.25"/>
    <row r="12" spans="23:23" x14ac:dyDescent="0.25">
      <c r="W12">
        <v>1</v>
      </c>
    </row>
    <row r="18" spans="3:19" x14ac:dyDescent="0.25">
      <c r="C18" s="38"/>
    </row>
    <row r="19" spans="3:19" x14ac:dyDescent="0.25">
      <c r="C19" s="38"/>
    </row>
    <row r="20" spans="3:19" x14ac:dyDescent="0.25">
      <c r="C20" s="16" t="s">
        <v>60</v>
      </c>
    </row>
    <row r="21" spans="3:19" ht="15.75" thickBot="1" x14ac:dyDescent="0.3">
      <c r="C21" s="6" t="s">
        <v>8</v>
      </c>
      <c r="F21" s="2">
        <v>327500</v>
      </c>
      <c r="G21" t="s">
        <v>85</v>
      </c>
      <c r="N21" t="s">
        <v>77</v>
      </c>
      <c r="O21">
        <f>IF(F25="Annual",1,IF(F25="Quarterly",4,12))</f>
        <v>12</v>
      </c>
      <c r="P21">
        <v>1</v>
      </c>
    </row>
    <row r="22" spans="3:19" ht="15.75" thickBot="1" x14ac:dyDescent="0.3">
      <c r="C22" s="38" t="s">
        <v>80</v>
      </c>
      <c r="F22" s="45">
        <v>3</v>
      </c>
      <c r="G22" t="s">
        <v>88</v>
      </c>
      <c r="H22" s="5">
        <f>D31*Term*Periods+F24-F21</f>
        <v>33248.288276055246</v>
      </c>
      <c r="N22" t="s">
        <v>78</v>
      </c>
      <c r="P22">
        <v>2</v>
      </c>
    </row>
    <row r="23" spans="3:19" x14ac:dyDescent="0.25">
      <c r="C23" s="6" t="s">
        <v>9</v>
      </c>
      <c r="F23" s="3">
        <v>5.6399999999999999E-2</v>
      </c>
      <c r="N23" t="s">
        <v>79</v>
      </c>
      <c r="P23">
        <v>3</v>
      </c>
    </row>
    <row r="24" spans="3:19" ht="15.75" thickBot="1" x14ac:dyDescent="0.3">
      <c r="C24" s="6" t="s">
        <v>10</v>
      </c>
      <c r="F24" s="2">
        <v>50000</v>
      </c>
      <c r="G24" t="s">
        <v>86</v>
      </c>
      <c r="P24">
        <v>4</v>
      </c>
    </row>
    <row r="25" spans="3:19" ht="15.75" thickBot="1" x14ac:dyDescent="0.3">
      <c r="C25" s="38" t="s">
        <v>59</v>
      </c>
      <c r="F25" t="s">
        <v>79</v>
      </c>
      <c r="G25" t="s">
        <v>87</v>
      </c>
      <c r="H25" s="50">
        <f>EFFECT(Rate,Periods)</f>
        <v>5.7881024430622041E-2</v>
      </c>
      <c r="P25">
        <v>5</v>
      </c>
    </row>
    <row r="26" spans="3:19" ht="4.1500000000000004" customHeight="1" thickBot="1" x14ac:dyDescent="0.3">
      <c r="C26" s="39"/>
      <c r="D26" s="8"/>
      <c r="E26" s="8"/>
      <c r="F26" s="8"/>
      <c r="G26" s="8"/>
      <c r="H26" s="8"/>
      <c r="I26" s="8"/>
      <c r="J26" s="8"/>
      <c r="K26" s="8"/>
      <c r="L26" s="8"/>
      <c r="M26" s="8"/>
      <c r="N26" s="15"/>
      <c r="O26" s="15"/>
      <c r="P26" s="15"/>
      <c r="Q26" s="15"/>
      <c r="R26" s="15"/>
      <c r="S26" s="15"/>
    </row>
    <row r="27" spans="3:19" ht="6" customHeight="1" x14ac:dyDescent="0.25"/>
    <row r="28" spans="3:19" ht="6" customHeight="1" thickBot="1" x14ac:dyDescent="0.3"/>
    <row r="29" spans="3:19" ht="30.75" thickBot="1" x14ac:dyDescent="0.3">
      <c r="C29" s="9" t="s">
        <v>11</v>
      </c>
      <c r="D29" s="10" t="s">
        <v>4</v>
      </c>
      <c r="E29" s="10" t="s">
        <v>12</v>
      </c>
      <c r="F29" s="10" t="s">
        <v>13</v>
      </c>
      <c r="G29" s="11" t="s">
        <v>14</v>
      </c>
    </row>
    <row r="30" spans="3:19" x14ac:dyDescent="0.25">
      <c r="C30" s="12">
        <v>0</v>
      </c>
      <c r="D30" s="13"/>
      <c r="E30" s="13"/>
      <c r="F30" s="13"/>
      <c r="G30" s="46">
        <f>F21</f>
        <v>327500</v>
      </c>
    </row>
    <row r="31" spans="3:19" x14ac:dyDescent="0.25">
      <c r="C31" s="12">
        <v>1</v>
      </c>
      <c r="D31" s="14">
        <f>PMT(Rate/Periods,Term*Periods,-F21,F24)</f>
        <v>8631.8968965570893</v>
      </c>
      <c r="E31" s="13">
        <f t="shared" ref="E31:E62" si="0">IF(C31&gt;Term*Periods,"",G30*Rate/Periods)</f>
        <v>1539.25</v>
      </c>
      <c r="F31" s="14">
        <f t="shared" ref="F31:F62" si="1">IF(C31&gt;Term*Periods,"",D31-E31)</f>
        <v>7092.6468965570893</v>
      </c>
      <c r="G31" s="13">
        <f t="shared" ref="G31:G62" si="2">IF(C31&gt;Term*Periods,"",G30-F31)</f>
        <v>320407.35310344293</v>
      </c>
      <c r="K31" t="s">
        <v>15</v>
      </c>
    </row>
    <row r="32" spans="3:19" x14ac:dyDescent="0.25">
      <c r="C32" s="12">
        <v>2</v>
      </c>
      <c r="D32" s="14">
        <f t="shared" ref="D32:D63" si="3">IF(C32&gt;Term*Periods,"",IF(C32=Term*Periods,$D$31+$F$24,$D$31))</f>
        <v>8631.8968965570893</v>
      </c>
      <c r="E32" s="13">
        <f t="shared" si="0"/>
        <v>1505.9145595861819</v>
      </c>
      <c r="F32" s="14">
        <f t="shared" si="1"/>
        <v>7125.9823369709075</v>
      </c>
      <c r="G32" s="13">
        <f t="shared" si="2"/>
        <v>313281.37076647201</v>
      </c>
    </row>
    <row r="33" spans="3:7" x14ac:dyDescent="0.25">
      <c r="C33" s="12">
        <v>3</v>
      </c>
      <c r="D33" s="14">
        <f t="shared" si="3"/>
        <v>8631.8968965570893</v>
      </c>
      <c r="E33" s="13">
        <f t="shared" si="0"/>
        <v>1472.4224426024184</v>
      </c>
      <c r="F33" s="14">
        <f t="shared" si="1"/>
        <v>7159.4744539546709</v>
      </c>
      <c r="G33" s="13">
        <f t="shared" si="2"/>
        <v>306121.89631251735</v>
      </c>
    </row>
    <row r="34" spans="3:7" x14ac:dyDescent="0.25">
      <c r="C34" s="12">
        <v>4</v>
      </c>
      <c r="D34" s="14">
        <f t="shared" si="3"/>
        <v>8631.8968965570893</v>
      </c>
      <c r="E34" s="13">
        <f t="shared" si="0"/>
        <v>1438.7729126688316</v>
      </c>
      <c r="F34" s="14">
        <f t="shared" si="1"/>
        <v>7193.1239838882575</v>
      </c>
      <c r="G34" s="13">
        <f t="shared" si="2"/>
        <v>298928.7723286291</v>
      </c>
    </row>
    <row r="35" spans="3:7" x14ac:dyDescent="0.25">
      <c r="C35" s="12">
        <v>5</v>
      </c>
      <c r="D35" s="14">
        <f t="shared" si="3"/>
        <v>8631.8968965570893</v>
      </c>
      <c r="E35" s="13">
        <f t="shared" si="0"/>
        <v>1404.9652299445568</v>
      </c>
      <c r="F35" s="14">
        <f t="shared" si="1"/>
        <v>7226.9316666125324</v>
      </c>
      <c r="G35" s="13">
        <f t="shared" si="2"/>
        <v>291701.84066201659</v>
      </c>
    </row>
    <row r="36" spans="3:7" x14ac:dyDescent="0.25">
      <c r="C36" s="12">
        <v>6</v>
      </c>
      <c r="D36" s="14">
        <f t="shared" si="3"/>
        <v>8631.8968965570893</v>
      </c>
      <c r="E36" s="13">
        <f t="shared" si="0"/>
        <v>1370.9986511114778</v>
      </c>
      <c r="F36" s="14">
        <f t="shared" si="1"/>
        <v>7260.8982454456118</v>
      </c>
      <c r="G36" s="13">
        <f t="shared" si="2"/>
        <v>284440.94241657096</v>
      </c>
    </row>
    <row r="37" spans="3:7" x14ac:dyDescent="0.25">
      <c r="C37" s="12">
        <v>7</v>
      </c>
      <c r="D37" s="14">
        <f t="shared" si="3"/>
        <v>8631.8968965570893</v>
      </c>
      <c r="E37" s="13">
        <f t="shared" si="0"/>
        <v>1336.8724293578834</v>
      </c>
      <c r="F37" s="14">
        <f t="shared" si="1"/>
        <v>7295.0244671992059</v>
      </c>
      <c r="G37" s="13">
        <f t="shared" si="2"/>
        <v>277145.91794937174</v>
      </c>
    </row>
    <row r="38" spans="3:7" x14ac:dyDescent="0.25">
      <c r="C38" s="12">
        <v>8</v>
      </c>
      <c r="D38" s="14">
        <f t="shared" si="3"/>
        <v>8631.8968965570893</v>
      </c>
      <c r="E38" s="13">
        <f t="shared" si="0"/>
        <v>1302.5858143620471</v>
      </c>
      <c r="F38" s="14">
        <f t="shared" si="1"/>
        <v>7329.3110821950422</v>
      </c>
      <c r="G38" s="13">
        <f t="shared" si="2"/>
        <v>269816.60686717671</v>
      </c>
    </row>
    <row r="39" spans="3:7" x14ac:dyDescent="0.25">
      <c r="C39" s="12">
        <v>9</v>
      </c>
      <c r="D39" s="14">
        <f t="shared" si="3"/>
        <v>8631.8968965570893</v>
      </c>
      <c r="E39" s="13">
        <f t="shared" si="0"/>
        <v>1268.1380522757306</v>
      </c>
      <c r="F39" s="14">
        <f t="shared" si="1"/>
        <v>7363.7588442813585</v>
      </c>
      <c r="G39" s="13">
        <f t="shared" si="2"/>
        <v>262452.84802289534</v>
      </c>
    </row>
    <row r="40" spans="3:7" x14ac:dyDescent="0.25">
      <c r="C40" s="12">
        <v>10</v>
      </c>
      <c r="D40" s="14">
        <f t="shared" si="3"/>
        <v>8631.8968965570893</v>
      </c>
      <c r="E40" s="13">
        <f t="shared" si="0"/>
        <v>1233.5283857076081</v>
      </c>
      <c r="F40" s="14">
        <f t="shared" si="1"/>
        <v>7398.368510849481</v>
      </c>
      <c r="G40" s="13">
        <f t="shared" si="2"/>
        <v>255054.47951204586</v>
      </c>
    </row>
    <row r="41" spans="3:7" x14ac:dyDescent="0.25">
      <c r="C41" s="12">
        <v>11</v>
      </c>
      <c r="D41" s="14">
        <f t="shared" si="3"/>
        <v>8631.8968965570893</v>
      </c>
      <c r="E41" s="13">
        <f t="shared" si="0"/>
        <v>1198.7560537066154</v>
      </c>
      <c r="F41" s="14">
        <f t="shared" si="1"/>
        <v>7433.1408428504737</v>
      </c>
      <c r="G41" s="13">
        <f t="shared" si="2"/>
        <v>247621.33866919539</v>
      </c>
    </row>
    <row r="42" spans="3:7" x14ac:dyDescent="0.25">
      <c r="C42" s="12">
        <v>12</v>
      </c>
      <c r="D42" s="14">
        <f t="shared" si="3"/>
        <v>8631.8968965570893</v>
      </c>
      <c r="E42" s="13">
        <f t="shared" si="0"/>
        <v>1163.8202917452184</v>
      </c>
      <c r="F42" s="14">
        <f t="shared" si="1"/>
        <v>7468.0766048118712</v>
      </c>
      <c r="G42" s="13">
        <f t="shared" si="2"/>
        <v>240153.26206438351</v>
      </c>
    </row>
    <row r="43" spans="3:7" x14ac:dyDescent="0.25">
      <c r="C43" s="12">
        <v>13</v>
      </c>
      <c r="D43" s="14">
        <f t="shared" si="3"/>
        <v>8631.8968965570893</v>
      </c>
      <c r="E43" s="13">
        <f t="shared" si="0"/>
        <v>1128.7203317026026</v>
      </c>
      <c r="F43" s="14">
        <f t="shared" si="1"/>
        <v>7503.176564854487</v>
      </c>
      <c r="G43" s="13">
        <f t="shared" si="2"/>
        <v>232650.08549952903</v>
      </c>
    </row>
    <row r="44" spans="3:7" x14ac:dyDescent="0.25">
      <c r="C44" s="12">
        <v>14</v>
      </c>
      <c r="D44" s="14">
        <f t="shared" si="3"/>
        <v>8631.8968965570893</v>
      </c>
      <c r="E44" s="13">
        <f t="shared" si="0"/>
        <v>1093.4554018477863</v>
      </c>
      <c r="F44" s="14">
        <f t="shared" si="1"/>
        <v>7538.4414947093028</v>
      </c>
      <c r="G44" s="13">
        <f t="shared" si="2"/>
        <v>225111.64400481974</v>
      </c>
    </row>
    <row r="45" spans="3:7" x14ac:dyDescent="0.25">
      <c r="C45" s="12">
        <v>15</v>
      </c>
      <c r="D45" s="14">
        <f t="shared" si="3"/>
        <v>8631.8968965570893</v>
      </c>
      <c r="E45" s="13">
        <f t="shared" si="0"/>
        <v>1058.0247268226528</v>
      </c>
      <c r="F45" s="14">
        <f t="shared" si="1"/>
        <v>7573.8721697344363</v>
      </c>
      <c r="G45" s="13">
        <f t="shared" si="2"/>
        <v>217537.7718350853</v>
      </c>
    </row>
    <row r="46" spans="3:7" x14ac:dyDescent="0.25">
      <c r="C46" s="12">
        <v>16</v>
      </c>
      <c r="D46" s="14">
        <f t="shared" si="3"/>
        <v>8631.8968965570893</v>
      </c>
      <c r="E46" s="13">
        <f t="shared" si="0"/>
        <v>1022.4275276249009</v>
      </c>
      <c r="F46" s="14">
        <f t="shared" si="1"/>
        <v>7609.4693689321884</v>
      </c>
      <c r="G46" s="13">
        <f t="shared" si="2"/>
        <v>209928.30246615311</v>
      </c>
    </row>
    <row r="47" spans="3:7" x14ac:dyDescent="0.25">
      <c r="C47" s="12">
        <v>17</v>
      </c>
      <c r="D47" s="14">
        <f t="shared" si="3"/>
        <v>8631.8968965570893</v>
      </c>
      <c r="E47" s="13">
        <f t="shared" si="0"/>
        <v>986.66302159091958</v>
      </c>
      <c r="F47" s="14">
        <f t="shared" si="1"/>
        <v>7645.2338749661694</v>
      </c>
      <c r="G47" s="13">
        <f t="shared" si="2"/>
        <v>202283.06859118695</v>
      </c>
    </row>
    <row r="48" spans="3:7" x14ac:dyDescent="0.25">
      <c r="C48" s="12">
        <v>18</v>
      </c>
      <c r="D48" s="14">
        <f t="shared" si="3"/>
        <v>8631.8968965570893</v>
      </c>
      <c r="E48" s="13">
        <f t="shared" si="0"/>
        <v>950.73042237857862</v>
      </c>
      <c r="F48" s="14">
        <f t="shared" si="1"/>
        <v>7681.1664741785107</v>
      </c>
      <c r="G48" s="13">
        <f t="shared" si="2"/>
        <v>194601.90211700843</v>
      </c>
    </row>
    <row r="49" spans="3:7" x14ac:dyDescent="0.25">
      <c r="C49" s="12">
        <v>19</v>
      </c>
      <c r="D49" s="14">
        <f t="shared" si="3"/>
        <v>8631.8968965570893</v>
      </c>
      <c r="E49" s="13">
        <f t="shared" si="0"/>
        <v>914.62893994993965</v>
      </c>
      <c r="F49" s="14">
        <f t="shared" si="1"/>
        <v>7717.2679566071492</v>
      </c>
      <c r="G49" s="13">
        <f t="shared" si="2"/>
        <v>186884.63416040127</v>
      </c>
    </row>
    <row r="50" spans="3:7" x14ac:dyDescent="0.25">
      <c r="C50" s="12">
        <v>20</v>
      </c>
      <c r="D50" s="14">
        <f t="shared" si="3"/>
        <v>8631.8968965570893</v>
      </c>
      <c r="E50" s="13">
        <f t="shared" si="0"/>
        <v>878.35778055388585</v>
      </c>
      <c r="F50" s="14">
        <f t="shared" si="1"/>
        <v>7753.5391160032032</v>
      </c>
      <c r="G50" s="13">
        <f t="shared" si="2"/>
        <v>179131.09504439807</v>
      </c>
    </row>
    <row r="51" spans="3:7" x14ac:dyDescent="0.25">
      <c r="C51" s="12">
        <v>21</v>
      </c>
      <c r="D51" s="14">
        <f t="shared" si="3"/>
        <v>8631.8968965570893</v>
      </c>
      <c r="E51" s="13">
        <f t="shared" si="0"/>
        <v>841.91614670867091</v>
      </c>
      <c r="F51" s="14">
        <f t="shared" si="1"/>
        <v>7789.9807498484188</v>
      </c>
      <c r="G51" s="13">
        <f t="shared" si="2"/>
        <v>171341.11429454965</v>
      </c>
    </row>
    <row r="52" spans="3:7" x14ac:dyDescent="0.25">
      <c r="C52" s="12">
        <v>22</v>
      </c>
      <c r="D52" s="14">
        <f t="shared" si="3"/>
        <v>8631.8968965570893</v>
      </c>
      <c r="E52" s="13">
        <f t="shared" si="0"/>
        <v>805.30323718438331</v>
      </c>
      <c r="F52" s="14">
        <f t="shared" si="1"/>
        <v>7826.5936593727056</v>
      </c>
      <c r="G52" s="13">
        <f t="shared" si="2"/>
        <v>163514.52063517694</v>
      </c>
    </row>
    <row r="53" spans="3:7" x14ac:dyDescent="0.25">
      <c r="C53" s="12">
        <v>23</v>
      </c>
      <c r="D53" s="14">
        <f t="shared" si="3"/>
        <v>8631.8968965570893</v>
      </c>
      <c r="E53" s="13">
        <f t="shared" si="0"/>
        <v>768.51824698533164</v>
      </c>
      <c r="F53" s="14">
        <f t="shared" si="1"/>
        <v>7863.3786495717577</v>
      </c>
      <c r="G53" s="13">
        <f t="shared" si="2"/>
        <v>155651.14198560518</v>
      </c>
    </row>
    <row r="54" spans="3:7" x14ac:dyDescent="0.25">
      <c r="C54" s="12">
        <v>24</v>
      </c>
      <c r="D54" s="14">
        <f t="shared" si="3"/>
        <v>8631.8968965570893</v>
      </c>
      <c r="E54" s="13">
        <f t="shared" si="0"/>
        <v>731.5603673323443</v>
      </c>
      <c r="F54" s="14">
        <f t="shared" si="1"/>
        <v>7900.3365292247454</v>
      </c>
      <c r="G54" s="13">
        <f t="shared" si="2"/>
        <v>147750.80545638045</v>
      </c>
    </row>
    <row r="55" spans="3:7" x14ac:dyDescent="0.25">
      <c r="C55" s="12">
        <v>25</v>
      </c>
      <c r="D55" s="14">
        <f t="shared" si="3"/>
        <v>8631.8968965570893</v>
      </c>
      <c r="E55" s="13">
        <f t="shared" si="0"/>
        <v>694.42878564498812</v>
      </c>
      <c r="F55" s="14">
        <f t="shared" si="1"/>
        <v>7937.4681109121011</v>
      </c>
      <c r="G55" s="13">
        <f t="shared" si="2"/>
        <v>139813.33734546835</v>
      </c>
    </row>
    <row r="56" spans="3:7" x14ac:dyDescent="0.25">
      <c r="C56" s="12">
        <v>26</v>
      </c>
      <c r="D56" s="14">
        <f t="shared" si="3"/>
        <v>8631.8968965570893</v>
      </c>
      <c r="E56" s="13">
        <f t="shared" si="0"/>
        <v>657.12268552370119</v>
      </c>
      <c r="F56" s="14">
        <f t="shared" si="1"/>
        <v>7974.7742110333884</v>
      </c>
      <c r="G56" s="13">
        <f t="shared" si="2"/>
        <v>131838.56313443495</v>
      </c>
    </row>
    <row r="57" spans="3:7" x14ac:dyDescent="0.25">
      <c r="C57" s="12">
        <v>27</v>
      </c>
      <c r="D57" s="14">
        <f t="shared" si="3"/>
        <v>8631.8968965570893</v>
      </c>
      <c r="E57" s="13">
        <f t="shared" si="0"/>
        <v>619.64124673184426</v>
      </c>
      <c r="F57" s="14">
        <f t="shared" si="1"/>
        <v>8012.2556498252452</v>
      </c>
      <c r="G57" s="13">
        <f t="shared" si="2"/>
        <v>123826.30748460972</v>
      </c>
    </row>
    <row r="58" spans="3:7" x14ac:dyDescent="0.25">
      <c r="C58" s="12">
        <v>28</v>
      </c>
      <c r="D58" s="14">
        <f t="shared" si="3"/>
        <v>8631.8968965570893</v>
      </c>
      <c r="E58" s="13">
        <f t="shared" si="0"/>
        <v>581.98364517766561</v>
      </c>
      <c r="F58" s="14">
        <f t="shared" si="1"/>
        <v>8049.9132513794239</v>
      </c>
      <c r="G58" s="13">
        <f t="shared" si="2"/>
        <v>115776.3942332303</v>
      </c>
    </row>
    <row r="59" spans="3:7" x14ac:dyDescent="0.25">
      <c r="C59" s="12">
        <v>29</v>
      </c>
      <c r="D59" s="14">
        <f t="shared" si="3"/>
        <v>8631.8968965570893</v>
      </c>
      <c r="E59" s="13">
        <f t="shared" si="0"/>
        <v>544.14905289618241</v>
      </c>
      <c r="F59" s="14">
        <f t="shared" si="1"/>
        <v>8087.7478436609072</v>
      </c>
      <c r="G59" s="13">
        <f t="shared" si="2"/>
        <v>107688.64638956939</v>
      </c>
    </row>
    <row r="60" spans="3:7" x14ac:dyDescent="0.25">
      <c r="C60" s="12">
        <v>30</v>
      </c>
      <c r="D60" s="14">
        <f t="shared" si="3"/>
        <v>8631.8968965570893</v>
      </c>
      <c r="E60" s="13">
        <f t="shared" si="0"/>
        <v>506.13663803097614</v>
      </c>
      <c r="F60" s="14">
        <f t="shared" si="1"/>
        <v>8125.7602585261129</v>
      </c>
      <c r="G60" s="13">
        <f t="shared" si="2"/>
        <v>99562.886131043269</v>
      </c>
    </row>
    <row r="61" spans="3:7" x14ac:dyDescent="0.25">
      <c r="C61" s="12">
        <v>31</v>
      </c>
      <c r="D61" s="14">
        <f t="shared" si="3"/>
        <v>8631.8968965570893</v>
      </c>
      <c r="E61" s="13">
        <f t="shared" si="0"/>
        <v>467.94556481590331</v>
      </c>
      <c r="F61" s="14">
        <f t="shared" si="1"/>
        <v>8163.9513317411856</v>
      </c>
      <c r="G61" s="13">
        <f t="shared" si="2"/>
        <v>91398.934799302078</v>
      </c>
    </row>
    <row r="62" spans="3:7" x14ac:dyDescent="0.25">
      <c r="C62" s="12">
        <v>32</v>
      </c>
      <c r="D62" s="14">
        <f t="shared" si="3"/>
        <v>8631.8968965570893</v>
      </c>
      <c r="E62" s="13">
        <f t="shared" si="0"/>
        <v>429.57499355671979</v>
      </c>
      <c r="F62" s="14">
        <f t="shared" si="1"/>
        <v>8202.3219030003693</v>
      </c>
      <c r="G62" s="13">
        <f t="shared" si="2"/>
        <v>83196.612896301711</v>
      </c>
    </row>
    <row r="63" spans="3:7" x14ac:dyDescent="0.25">
      <c r="C63" s="12">
        <v>33</v>
      </c>
      <c r="D63" s="14">
        <f t="shared" si="3"/>
        <v>8631.8968965570893</v>
      </c>
      <c r="E63" s="13">
        <f t="shared" ref="E63:E90" si="4">IF(C63&gt;Term*Periods,"",G62*Rate/Periods)</f>
        <v>391.02408061261804</v>
      </c>
      <c r="F63" s="14">
        <f t="shared" ref="F63:F90" si="5">IF(C63&gt;Term*Periods,"",D63-E63)</f>
        <v>8240.8728159444709</v>
      </c>
      <c r="G63" s="13">
        <f t="shared" ref="G63:G90" si="6">IF(C63&gt;Term*Periods,"",G62-F63)</f>
        <v>74955.740080357238</v>
      </c>
    </row>
    <row r="64" spans="3:7" x14ac:dyDescent="0.25">
      <c r="C64" s="12">
        <v>34</v>
      </c>
      <c r="D64" s="14">
        <f t="shared" ref="D64:D90" si="7">IF(C64&gt;Term*Periods,"",IF(C64=Term*Periods,$D$31+$F$24,$D$31))</f>
        <v>8631.8968965570893</v>
      </c>
      <c r="E64" s="13">
        <f t="shared" si="4"/>
        <v>352.29197837767902</v>
      </c>
      <c r="F64" s="14">
        <f t="shared" si="5"/>
        <v>8279.6049181794097</v>
      </c>
      <c r="G64" s="13">
        <f t="shared" si="6"/>
        <v>66676.13516217783</v>
      </c>
    </row>
    <row r="65" spans="3:7" x14ac:dyDescent="0.25">
      <c r="C65" s="12">
        <v>35</v>
      </c>
      <c r="D65" s="14">
        <f t="shared" si="7"/>
        <v>8631.8968965570893</v>
      </c>
      <c r="E65" s="13">
        <f t="shared" si="4"/>
        <v>313.37783526223581</v>
      </c>
      <c r="F65" s="14">
        <f t="shared" si="5"/>
        <v>8318.5190612948536</v>
      </c>
      <c r="G65" s="13">
        <f t="shared" si="6"/>
        <v>58357.61610088298</v>
      </c>
    </row>
    <row r="66" spans="3:7" x14ac:dyDescent="0.25">
      <c r="C66" s="12">
        <v>36</v>
      </c>
      <c r="D66" s="14">
        <f t="shared" si="7"/>
        <v>58631.896896557089</v>
      </c>
      <c r="E66" s="13">
        <f t="shared" si="4"/>
        <v>274.28079567415</v>
      </c>
      <c r="F66" s="14">
        <f t="shared" si="5"/>
        <v>58357.616100882937</v>
      </c>
      <c r="G66" s="13">
        <f t="shared" si="6"/>
        <v>4.3655745685100555E-11</v>
      </c>
    </row>
    <row r="67" spans="3:7" x14ac:dyDescent="0.25">
      <c r="C67" s="12">
        <v>37</v>
      </c>
      <c r="D67" s="14" t="str">
        <f t="shared" si="7"/>
        <v/>
      </c>
      <c r="E67" s="13" t="str">
        <f t="shared" si="4"/>
        <v/>
      </c>
      <c r="F67" s="14" t="str">
        <f t="shared" si="5"/>
        <v/>
      </c>
      <c r="G67" s="13" t="str">
        <f t="shared" si="6"/>
        <v/>
      </c>
    </row>
    <row r="68" spans="3:7" x14ac:dyDescent="0.25">
      <c r="C68" s="12">
        <v>38</v>
      </c>
      <c r="D68" s="14" t="str">
        <f t="shared" si="7"/>
        <v/>
      </c>
      <c r="E68" s="13" t="str">
        <f t="shared" si="4"/>
        <v/>
      </c>
      <c r="F68" s="14" t="str">
        <f t="shared" si="5"/>
        <v/>
      </c>
      <c r="G68" s="13" t="str">
        <f t="shared" si="6"/>
        <v/>
      </c>
    </row>
    <row r="69" spans="3:7" x14ac:dyDescent="0.25">
      <c r="C69" s="12">
        <v>39</v>
      </c>
      <c r="D69" s="14" t="str">
        <f t="shared" si="7"/>
        <v/>
      </c>
      <c r="E69" s="13" t="str">
        <f t="shared" si="4"/>
        <v/>
      </c>
      <c r="F69" s="14" t="str">
        <f t="shared" si="5"/>
        <v/>
      </c>
      <c r="G69" s="13" t="str">
        <f t="shared" si="6"/>
        <v/>
      </c>
    </row>
    <row r="70" spans="3:7" x14ac:dyDescent="0.25">
      <c r="C70" s="12">
        <v>40</v>
      </c>
      <c r="D70" s="14" t="str">
        <f t="shared" si="7"/>
        <v/>
      </c>
      <c r="E70" s="13" t="str">
        <f t="shared" si="4"/>
        <v/>
      </c>
      <c r="F70" s="14" t="str">
        <f t="shared" si="5"/>
        <v/>
      </c>
      <c r="G70" s="13" t="str">
        <f t="shared" si="6"/>
        <v/>
      </c>
    </row>
    <row r="71" spans="3:7" x14ac:dyDescent="0.25">
      <c r="C71" s="12">
        <v>41</v>
      </c>
      <c r="D71" s="14" t="str">
        <f t="shared" si="7"/>
        <v/>
      </c>
      <c r="E71" s="13" t="str">
        <f t="shared" si="4"/>
        <v/>
      </c>
      <c r="F71" s="14" t="str">
        <f t="shared" si="5"/>
        <v/>
      </c>
      <c r="G71" s="13" t="str">
        <f t="shared" si="6"/>
        <v/>
      </c>
    </row>
    <row r="72" spans="3:7" x14ac:dyDescent="0.25">
      <c r="C72" s="12">
        <v>42</v>
      </c>
      <c r="D72" s="14" t="str">
        <f t="shared" si="7"/>
        <v/>
      </c>
      <c r="E72" s="13" t="str">
        <f t="shared" si="4"/>
        <v/>
      </c>
      <c r="F72" s="14" t="str">
        <f t="shared" si="5"/>
        <v/>
      </c>
      <c r="G72" s="13" t="str">
        <f t="shared" si="6"/>
        <v/>
      </c>
    </row>
    <row r="73" spans="3:7" x14ac:dyDescent="0.25">
      <c r="C73" s="12">
        <v>43</v>
      </c>
      <c r="D73" s="14" t="str">
        <f t="shared" si="7"/>
        <v/>
      </c>
      <c r="E73" s="13" t="str">
        <f t="shared" si="4"/>
        <v/>
      </c>
      <c r="F73" s="14" t="str">
        <f t="shared" si="5"/>
        <v/>
      </c>
      <c r="G73" s="13" t="str">
        <f t="shared" si="6"/>
        <v/>
      </c>
    </row>
    <row r="74" spans="3:7" x14ac:dyDescent="0.25">
      <c r="C74" s="12">
        <v>44</v>
      </c>
      <c r="D74" s="14" t="str">
        <f t="shared" si="7"/>
        <v/>
      </c>
      <c r="E74" s="13" t="str">
        <f t="shared" si="4"/>
        <v/>
      </c>
      <c r="F74" s="14" t="str">
        <f t="shared" si="5"/>
        <v/>
      </c>
      <c r="G74" s="13" t="str">
        <f t="shared" si="6"/>
        <v/>
      </c>
    </row>
    <row r="75" spans="3:7" x14ac:dyDescent="0.25">
      <c r="C75" s="12">
        <v>45</v>
      </c>
      <c r="D75" s="14" t="str">
        <f t="shared" si="7"/>
        <v/>
      </c>
      <c r="E75" s="13" t="str">
        <f t="shared" si="4"/>
        <v/>
      </c>
      <c r="F75" s="14" t="str">
        <f t="shared" si="5"/>
        <v/>
      </c>
      <c r="G75" s="13" t="str">
        <f t="shared" si="6"/>
        <v/>
      </c>
    </row>
    <row r="76" spans="3:7" x14ac:dyDescent="0.25">
      <c r="C76" s="12">
        <v>46</v>
      </c>
      <c r="D76" s="14" t="str">
        <f t="shared" si="7"/>
        <v/>
      </c>
      <c r="E76" s="13" t="str">
        <f t="shared" si="4"/>
        <v/>
      </c>
      <c r="F76" s="14" t="str">
        <f t="shared" si="5"/>
        <v/>
      </c>
      <c r="G76" s="13" t="str">
        <f t="shared" si="6"/>
        <v/>
      </c>
    </row>
    <row r="77" spans="3:7" x14ac:dyDescent="0.25">
      <c r="C77" s="12">
        <v>47</v>
      </c>
      <c r="D77" s="14" t="str">
        <f t="shared" si="7"/>
        <v/>
      </c>
      <c r="E77" s="13" t="str">
        <f t="shared" si="4"/>
        <v/>
      </c>
      <c r="F77" s="14" t="str">
        <f t="shared" si="5"/>
        <v/>
      </c>
      <c r="G77" s="13" t="str">
        <f t="shared" si="6"/>
        <v/>
      </c>
    </row>
    <row r="78" spans="3:7" x14ac:dyDescent="0.25">
      <c r="C78" s="12">
        <v>48</v>
      </c>
      <c r="D78" s="14" t="str">
        <f t="shared" si="7"/>
        <v/>
      </c>
      <c r="E78" s="13" t="str">
        <f t="shared" si="4"/>
        <v/>
      </c>
      <c r="F78" s="14" t="str">
        <f t="shared" si="5"/>
        <v/>
      </c>
      <c r="G78" s="13" t="str">
        <f t="shared" si="6"/>
        <v/>
      </c>
    </row>
    <row r="79" spans="3:7" x14ac:dyDescent="0.25">
      <c r="C79" s="12">
        <v>49</v>
      </c>
      <c r="D79" s="14" t="str">
        <f t="shared" si="7"/>
        <v/>
      </c>
      <c r="E79" s="13" t="str">
        <f t="shared" si="4"/>
        <v/>
      </c>
      <c r="F79" s="14" t="str">
        <f t="shared" si="5"/>
        <v/>
      </c>
      <c r="G79" s="13" t="str">
        <f t="shared" si="6"/>
        <v/>
      </c>
    </row>
    <row r="80" spans="3:7" x14ac:dyDescent="0.25">
      <c r="C80" s="12">
        <v>50</v>
      </c>
      <c r="D80" s="14" t="str">
        <f t="shared" si="7"/>
        <v/>
      </c>
      <c r="E80" s="13" t="str">
        <f t="shared" si="4"/>
        <v/>
      </c>
      <c r="F80" s="14" t="str">
        <f t="shared" si="5"/>
        <v/>
      </c>
      <c r="G80" s="13" t="str">
        <f t="shared" si="6"/>
        <v/>
      </c>
    </row>
    <row r="81" spans="3:7" x14ac:dyDescent="0.25">
      <c r="C81" s="12">
        <v>51</v>
      </c>
      <c r="D81" s="14" t="str">
        <f t="shared" si="7"/>
        <v/>
      </c>
      <c r="E81" s="13" t="str">
        <f t="shared" si="4"/>
        <v/>
      </c>
      <c r="F81" s="14" t="str">
        <f t="shared" si="5"/>
        <v/>
      </c>
      <c r="G81" s="13" t="str">
        <f t="shared" si="6"/>
        <v/>
      </c>
    </row>
    <row r="82" spans="3:7" x14ac:dyDescent="0.25">
      <c r="C82" s="12">
        <v>52</v>
      </c>
      <c r="D82" s="14" t="str">
        <f t="shared" si="7"/>
        <v/>
      </c>
      <c r="E82" s="13" t="str">
        <f t="shared" si="4"/>
        <v/>
      </c>
      <c r="F82" s="14" t="str">
        <f t="shared" si="5"/>
        <v/>
      </c>
      <c r="G82" s="13" t="str">
        <f t="shared" si="6"/>
        <v/>
      </c>
    </row>
    <row r="83" spans="3:7" x14ac:dyDescent="0.25">
      <c r="C83" s="12">
        <v>53</v>
      </c>
      <c r="D83" s="14" t="str">
        <f t="shared" si="7"/>
        <v/>
      </c>
      <c r="E83" s="13" t="str">
        <f t="shared" si="4"/>
        <v/>
      </c>
      <c r="F83" s="14" t="str">
        <f t="shared" si="5"/>
        <v/>
      </c>
      <c r="G83" s="13" t="str">
        <f t="shared" si="6"/>
        <v/>
      </c>
    </row>
    <row r="84" spans="3:7" x14ac:dyDescent="0.25">
      <c r="C84" s="12">
        <v>54</v>
      </c>
      <c r="D84" s="14" t="str">
        <f t="shared" si="7"/>
        <v/>
      </c>
      <c r="E84" s="13" t="str">
        <f t="shared" si="4"/>
        <v/>
      </c>
      <c r="F84" s="14" t="str">
        <f t="shared" si="5"/>
        <v/>
      </c>
      <c r="G84" s="13" t="str">
        <f t="shared" si="6"/>
        <v/>
      </c>
    </row>
    <row r="85" spans="3:7" x14ac:dyDescent="0.25">
      <c r="C85" s="12">
        <v>55</v>
      </c>
      <c r="D85" s="14" t="str">
        <f t="shared" si="7"/>
        <v/>
      </c>
      <c r="E85" s="13" t="str">
        <f t="shared" si="4"/>
        <v/>
      </c>
      <c r="F85" s="14" t="str">
        <f t="shared" si="5"/>
        <v/>
      </c>
      <c r="G85" s="13" t="str">
        <f t="shared" si="6"/>
        <v/>
      </c>
    </row>
    <row r="86" spans="3:7" x14ac:dyDescent="0.25">
      <c r="C86" s="12">
        <v>56</v>
      </c>
      <c r="D86" s="14" t="str">
        <f t="shared" si="7"/>
        <v/>
      </c>
      <c r="E86" s="13" t="str">
        <f t="shared" si="4"/>
        <v/>
      </c>
      <c r="F86" s="14" t="str">
        <f t="shared" si="5"/>
        <v/>
      </c>
      <c r="G86" s="13" t="str">
        <f t="shared" si="6"/>
        <v/>
      </c>
    </row>
    <row r="87" spans="3:7" x14ac:dyDescent="0.25">
      <c r="C87" s="12">
        <v>57</v>
      </c>
      <c r="D87" s="14" t="str">
        <f t="shared" si="7"/>
        <v/>
      </c>
      <c r="E87" s="13" t="str">
        <f t="shared" si="4"/>
        <v/>
      </c>
      <c r="F87" s="14" t="str">
        <f t="shared" si="5"/>
        <v/>
      </c>
      <c r="G87" s="13" t="str">
        <f t="shared" si="6"/>
        <v/>
      </c>
    </row>
    <row r="88" spans="3:7" x14ac:dyDescent="0.25">
      <c r="C88" s="12">
        <v>58</v>
      </c>
      <c r="D88" s="14" t="str">
        <f t="shared" si="7"/>
        <v/>
      </c>
      <c r="E88" s="13" t="str">
        <f t="shared" si="4"/>
        <v/>
      </c>
      <c r="F88" s="14" t="str">
        <f t="shared" si="5"/>
        <v/>
      </c>
      <c r="G88" s="13" t="str">
        <f t="shared" si="6"/>
        <v/>
      </c>
    </row>
    <row r="89" spans="3:7" x14ac:dyDescent="0.25">
      <c r="C89" s="12">
        <v>59</v>
      </c>
      <c r="D89" s="14" t="str">
        <f t="shared" si="7"/>
        <v/>
      </c>
      <c r="E89" s="13" t="str">
        <f t="shared" si="4"/>
        <v/>
      </c>
      <c r="F89" s="14" t="str">
        <f t="shared" si="5"/>
        <v/>
      </c>
      <c r="G89" s="13" t="str">
        <f t="shared" si="6"/>
        <v/>
      </c>
    </row>
    <row r="90" spans="3:7" x14ac:dyDescent="0.25">
      <c r="C90" s="12">
        <v>60</v>
      </c>
      <c r="D90" s="14" t="str">
        <f t="shared" si="7"/>
        <v/>
      </c>
      <c r="E90" s="13" t="str">
        <f t="shared" si="4"/>
        <v/>
      </c>
      <c r="F90" s="14" t="str">
        <f t="shared" si="5"/>
        <v/>
      </c>
      <c r="G90" s="13" t="str">
        <f t="shared" si="6"/>
        <v/>
      </c>
    </row>
  </sheetData>
  <dataValidations count="5">
    <dataValidation type="list" allowBlank="1" showInputMessage="1" showErrorMessage="1" sqref="F25" xr:uid="{00000000-0002-0000-0100-000000000000}">
      <formula1>$N$21:$N$23</formula1>
    </dataValidation>
    <dataValidation type="list" allowBlank="1" showInputMessage="1" showErrorMessage="1" prompt="Select a value from the drop-down list._x000a_" sqref="F22" xr:uid="{00000000-0002-0000-0100-000001000000}">
      <formula1>$P$21:$P$25</formula1>
    </dataValidation>
    <dataValidation type="whole" operator="greaterThan" allowBlank="1" showInputMessage="1" showErrorMessage="1" prompt="This value must be a positive number greater than zero." sqref="F21" xr:uid="{00000000-0002-0000-0100-000002000000}">
      <formula1>0</formula1>
    </dataValidation>
    <dataValidation type="decimal" allowBlank="1" showInputMessage="1" showErrorMessage="1" prompt="This interest rate must be between 2% and 8%." sqref="F23" xr:uid="{00000000-0002-0000-0100-000003000000}">
      <formula1>0.02</formula1>
      <formula2>0.08</formula2>
    </dataValidation>
    <dataValidation type="whole" allowBlank="1" showInputMessage="1" showErrorMessage="1" prompt="This input must be between zero and the total amount of the loan." sqref="F24" xr:uid="{00000000-0002-0000-0100-000004000000}">
      <formula1>0</formula1>
      <formula2>F21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8:G31"/>
  <sheetViews>
    <sheetView zoomScale="115" zoomScaleNormal="115" workbookViewId="0"/>
  </sheetViews>
  <sheetFormatPr defaultColWidth="8.7109375" defaultRowHeight="15" x14ac:dyDescent="0.25"/>
  <cols>
    <col min="1" max="1" width="8.7109375" style="43"/>
    <col min="2" max="2" width="29.28515625" style="43" customWidth="1"/>
    <col min="3" max="3" width="12.7109375" style="43" customWidth="1"/>
    <col min="4" max="4" width="2.5703125" style="43" customWidth="1"/>
    <col min="5" max="5" width="15.7109375" style="43" customWidth="1"/>
    <col min="6" max="6" width="24" style="43" customWidth="1"/>
    <col min="7" max="7" width="18.42578125" style="43" customWidth="1"/>
    <col min="8" max="16384" width="8.7109375" style="43"/>
  </cols>
  <sheetData>
    <row r="18" spans="2:7" ht="15.75" thickBot="1" x14ac:dyDescent="0.3">
      <c r="B18" s="43" t="s">
        <v>61</v>
      </c>
      <c r="C18" s="44">
        <v>327500</v>
      </c>
      <c r="E18" s="43" t="s">
        <v>82</v>
      </c>
    </row>
    <row r="19" spans="2:7" ht="15.75" thickBot="1" x14ac:dyDescent="0.3">
      <c r="B19" s="43" t="s">
        <v>62</v>
      </c>
      <c r="C19" s="41">
        <v>3</v>
      </c>
      <c r="E19" s="43" t="s">
        <v>83</v>
      </c>
      <c r="G19" s="48">
        <f>PMT(C20/12,C19*12,-C18)</f>
        <v>9909.8512923331418</v>
      </c>
    </row>
    <row r="20" spans="2:7" x14ac:dyDescent="0.25">
      <c r="B20" s="43" t="s">
        <v>16</v>
      </c>
      <c r="C20" s="51">
        <v>5.6399999999999999E-2</v>
      </c>
    </row>
    <row r="21" spans="2:7" x14ac:dyDescent="0.25">
      <c r="B21" s="43" t="s">
        <v>63</v>
      </c>
      <c r="C21" s="44">
        <v>2500</v>
      </c>
      <c r="E21" s="43" t="s">
        <v>81</v>
      </c>
    </row>
    <row r="22" spans="2:7" ht="15.75" thickBot="1" x14ac:dyDescent="0.3">
      <c r="E22" s="43" t="s">
        <v>64</v>
      </c>
    </row>
    <row r="23" spans="2:7" ht="15.75" thickBot="1" x14ac:dyDescent="0.3">
      <c r="E23" s="43" t="s">
        <v>84</v>
      </c>
      <c r="G23" s="89">
        <f>NPER(C20/12,G19+C21,-C18)</f>
        <v>28.242460419468951</v>
      </c>
    </row>
    <row r="25" spans="2:7" x14ac:dyDescent="0.25">
      <c r="E25" s="43" t="s">
        <v>65</v>
      </c>
    </row>
    <row r="26" spans="2:7" x14ac:dyDescent="0.25">
      <c r="E26" s="43" t="s">
        <v>66</v>
      </c>
    </row>
    <row r="27" spans="2:7" x14ac:dyDescent="0.25">
      <c r="E27" s="43" t="s">
        <v>67</v>
      </c>
    </row>
    <row r="28" spans="2:7" x14ac:dyDescent="0.25">
      <c r="E28" s="43" t="s">
        <v>68</v>
      </c>
    </row>
    <row r="29" spans="2:7" x14ac:dyDescent="0.25">
      <c r="E29" s="43" t="s">
        <v>69</v>
      </c>
    </row>
    <row r="30" spans="2:7" ht="15.75" thickBot="1" x14ac:dyDescent="0.3">
      <c r="E30" s="43" t="s">
        <v>70</v>
      </c>
    </row>
    <row r="31" spans="2:7" ht="15.75" thickBot="1" x14ac:dyDescent="0.3">
      <c r="E31" s="43" t="s">
        <v>71</v>
      </c>
      <c r="G31" s="5">
        <f>(G19*C19*12)-(G23*(G19+C21))</f>
        <v>6269.9125887787668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85"/>
  <sheetViews>
    <sheetView showGridLines="0" zoomScaleNormal="100" workbookViewId="0"/>
  </sheetViews>
  <sheetFormatPr defaultRowHeight="15" x14ac:dyDescent="0.25"/>
  <cols>
    <col min="1" max="1" width="4.42578125" customWidth="1"/>
    <col min="7" max="7" width="17.5703125" customWidth="1"/>
    <col min="8" max="8" width="14.5703125" customWidth="1"/>
    <col min="10" max="10" width="13.5703125" bestFit="1" customWidth="1"/>
    <col min="13" max="13" width="11.7109375" customWidth="1"/>
    <col min="14" max="14" width="17" style="88" customWidth="1"/>
    <col min="15" max="15" width="14.42578125" customWidth="1"/>
    <col min="16" max="16" width="15.140625" customWidth="1"/>
    <col min="17" max="17" width="21.5703125" customWidth="1"/>
  </cols>
  <sheetData>
    <row r="2" spans="2:16" x14ac:dyDescent="0.25">
      <c r="B2" s="110" t="s">
        <v>105</v>
      </c>
      <c r="C2" s="52"/>
      <c r="D2" s="52"/>
      <c r="E2" s="52"/>
      <c r="F2" s="52"/>
      <c r="G2" s="52"/>
      <c r="H2" s="52"/>
      <c r="I2" s="52"/>
      <c r="J2" s="52"/>
      <c r="K2" s="52"/>
    </row>
    <row r="3" spans="2:16" x14ac:dyDescent="0.25">
      <c r="B3" s="110" t="s">
        <v>282</v>
      </c>
      <c r="C3" s="52"/>
      <c r="D3" s="52"/>
      <c r="E3" s="52"/>
      <c r="F3" s="52"/>
      <c r="G3" s="52"/>
      <c r="H3" s="52"/>
      <c r="I3" s="52"/>
      <c r="J3" s="52"/>
      <c r="K3" s="52"/>
    </row>
    <row r="4" spans="2:16" x14ac:dyDescent="0.25">
      <c r="B4" s="110" t="s">
        <v>257</v>
      </c>
      <c r="C4" s="52"/>
      <c r="D4" s="52"/>
      <c r="E4" s="52"/>
      <c r="F4" s="52"/>
      <c r="G4" s="52"/>
      <c r="H4" s="52"/>
      <c r="I4" s="52"/>
      <c r="J4" s="52"/>
      <c r="K4" s="52"/>
    </row>
    <row r="5" spans="2:16" ht="24" customHeight="1" x14ac:dyDescent="0.25">
      <c r="B5" s="110" t="s">
        <v>281</v>
      </c>
      <c r="C5" s="52"/>
      <c r="D5" s="52"/>
      <c r="E5" s="52"/>
      <c r="F5" s="52"/>
      <c r="G5" s="52"/>
      <c r="H5" s="52"/>
      <c r="I5" s="52"/>
      <c r="J5" s="52"/>
      <c r="K5" s="52"/>
    </row>
    <row r="6" spans="2:16" x14ac:dyDescent="0.25">
      <c r="B6" s="110" t="s">
        <v>283</v>
      </c>
      <c r="C6" s="52"/>
      <c r="D6" s="52"/>
      <c r="E6" s="52"/>
      <c r="F6" s="52"/>
      <c r="G6" s="52"/>
      <c r="H6" s="52"/>
      <c r="I6" s="52"/>
      <c r="J6" s="52"/>
      <c r="K6" s="52"/>
    </row>
    <row r="7" spans="2:16" x14ac:dyDescent="0.25">
      <c r="B7" s="110" t="s">
        <v>190</v>
      </c>
      <c r="C7" s="52"/>
      <c r="D7" s="52"/>
      <c r="E7" s="52"/>
      <c r="F7" s="52"/>
      <c r="G7" s="52"/>
      <c r="H7" s="52"/>
      <c r="I7" s="52"/>
      <c r="J7" s="52"/>
      <c r="K7" s="52"/>
    </row>
    <row r="8" spans="2:16" ht="9" customHeight="1" x14ac:dyDescent="0.25">
      <c r="B8" s="110"/>
      <c r="C8" s="52"/>
      <c r="D8" s="52"/>
      <c r="E8" s="52"/>
      <c r="F8" s="52"/>
      <c r="G8" s="52"/>
      <c r="H8" s="52"/>
      <c r="I8" s="52"/>
      <c r="J8" s="52"/>
      <c r="K8" s="52"/>
    </row>
    <row r="9" spans="2:16" x14ac:dyDescent="0.25">
      <c r="B9" s="110" t="s">
        <v>191</v>
      </c>
      <c r="C9" s="52"/>
      <c r="D9" s="52"/>
      <c r="E9" s="52"/>
      <c r="F9" s="52"/>
      <c r="G9" s="52"/>
      <c r="H9" s="52"/>
      <c r="I9" s="52"/>
      <c r="J9" s="52"/>
      <c r="K9" s="52"/>
    </row>
    <row r="10" spans="2:16" x14ac:dyDescent="0.25">
      <c r="B10" s="110" t="s">
        <v>192</v>
      </c>
      <c r="C10" s="52"/>
      <c r="D10" s="52"/>
      <c r="E10" s="52"/>
      <c r="F10" s="52"/>
      <c r="G10" s="52"/>
      <c r="H10" s="52"/>
      <c r="I10" s="52"/>
      <c r="J10" s="52"/>
      <c r="K10" s="52"/>
    </row>
    <row r="11" spans="2:16" x14ac:dyDescent="0.25">
      <c r="B11" s="110" t="s">
        <v>193</v>
      </c>
      <c r="C11" s="52"/>
      <c r="D11" s="52"/>
      <c r="E11" s="52"/>
      <c r="F11" s="52"/>
      <c r="G11" s="52"/>
      <c r="H11" s="52"/>
      <c r="I11" s="52"/>
      <c r="J11" s="52"/>
      <c r="K11" s="52"/>
      <c r="O11" s="86"/>
      <c r="P11" s="86"/>
    </row>
    <row r="12" spans="2:16" s="85" customFormat="1" ht="8.65" customHeight="1" x14ac:dyDescent="0.25">
      <c r="B12" s="110"/>
      <c r="N12" s="88"/>
      <c r="O12" s="86"/>
      <c r="P12" s="86"/>
    </row>
    <row r="13" spans="2:16" s="85" customFormat="1" x14ac:dyDescent="0.25">
      <c r="B13" s="110" t="s">
        <v>106</v>
      </c>
      <c r="N13" s="88"/>
      <c r="O13" s="86"/>
      <c r="P13" s="86"/>
    </row>
    <row r="14" spans="2:16" s="85" customFormat="1" x14ac:dyDescent="0.25">
      <c r="B14" s="110" t="s">
        <v>107</v>
      </c>
      <c r="N14" s="88"/>
      <c r="O14" s="86"/>
      <c r="P14" s="86"/>
    </row>
    <row r="15" spans="2:16" s="85" customFormat="1" ht="15.75" thickBot="1" x14ac:dyDescent="0.3">
      <c r="N15" s="88"/>
      <c r="O15" s="86"/>
      <c r="P15" s="86"/>
    </row>
    <row r="16" spans="2:16" ht="15.75" thickBot="1" x14ac:dyDescent="0.3">
      <c r="B16" s="52"/>
      <c r="C16" s="52" t="s">
        <v>108</v>
      </c>
      <c r="D16" s="52"/>
      <c r="E16" s="52"/>
      <c r="F16" s="52"/>
      <c r="G16" s="52"/>
      <c r="H16" s="56">
        <v>4.8000000000000001E-2</v>
      </c>
      <c r="I16" s="52"/>
      <c r="J16" s="52"/>
      <c r="K16" s="52"/>
      <c r="O16" s="86" t="s">
        <v>184</v>
      </c>
      <c r="P16" s="86" t="s">
        <v>186</v>
      </c>
    </row>
    <row r="17" spans="2:16" ht="15.75" thickBot="1" x14ac:dyDescent="0.3">
      <c r="B17" s="54"/>
      <c r="C17" s="54"/>
      <c r="D17" s="54"/>
      <c r="E17" s="54"/>
      <c r="F17" s="54"/>
      <c r="G17" s="54"/>
      <c r="H17" s="54"/>
      <c r="I17" s="54"/>
      <c r="J17" s="54"/>
      <c r="K17" s="54"/>
      <c r="L17" s="103" t="s">
        <v>210</v>
      </c>
      <c r="M17" s="86" t="s">
        <v>187</v>
      </c>
      <c r="N17" s="86" t="s">
        <v>188</v>
      </c>
      <c r="O17" s="86" t="s">
        <v>185</v>
      </c>
      <c r="P17" s="86" t="s">
        <v>14</v>
      </c>
    </row>
    <row r="18" spans="2:16" ht="15.75" thickBot="1" x14ac:dyDescent="0.3">
      <c r="B18" s="142" t="s">
        <v>109</v>
      </c>
      <c r="C18" s="142"/>
      <c r="D18" s="142"/>
      <c r="E18" s="142"/>
      <c r="F18" s="142"/>
      <c r="G18" s="142"/>
      <c r="H18" s="142"/>
      <c r="I18" s="142"/>
      <c r="J18" s="142"/>
      <c r="K18" s="142"/>
      <c r="L18">
        <v>0</v>
      </c>
      <c r="M18" s="87">
        <v>43466</v>
      </c>
      <c r="N18" s="88" t="s">
        <v>139</v>
      </c>
      <c r="O18" s="53">
        <v>25000</v>
      </c>
      <c r="P18" s="53">
        <f>O18</f>
        <v>25000</v>
      </c>
    </row>
    <row r="19" spans="2:16" x14ac:dyDescent="0.25">
      <c r="L19">
        <v>1</v>
      </c>
      <c r="M19" s="87">
        <v>43831</v>
      </c>
      <c r="N19" s="88" t="s">
        <v>140</v>
      </c>
      <c r="O19" s="53">
        <f>H23</f>
        <v>43341.687704310869</v>
      </c>
      <c r="P19" s="53">
        <f>O19+(P18*(1+$H$16))</f>
        <v>69541.687704310869</v>
      </c>
    </row>
    <row r="20" spans="2:16" x14ac:dyDescent="0.25">
      <c r="C20" s="55" t="s">
        <v>110</v>
      </c>
      <c r="D20" t="s">
        <v>280</v>
      </c>
      <c r="H20" s="53">
        <f>-PV(H16,30,150000,0)</f>
        <v>2359383.0455495571</v>
      </c>
      <c r="J20" s="97"/>
      <c r="L20">
        <v>2</v>
      </c>
      <c r="M20" s="87">
        <v>44197</v>
      </c>
      <c r="N20" s="88" t="s">
        <v>141</v>
      </c>
      <c r="O20" s="53">
        <f t="shared" ref="O20:O42" si="0">O19</f>
        <v>43341.687704310869</v>
      </c>
      <c r="P20" s="97">
        <f t="shared" ref="P20:P76" si="1">O20+(P19*(1+$H$16))</f>
        <v>116221.37641842866</v>
      </c>
    </row>
    <row r="21" spans="2:16" x14ac:dyDescent="0.25">
      <c r="C21" s="55" t="s">
        <v>111</v>
      </c>
      <c r="D21" t="s">
        <v>284</v>
      </c>
      <c r="H21" s="53">
        <f>-PV(H16,28,0,H20)</f>
        <v>634866.68838302698</v>
      </c>
      <c r="L21" s="101">
        <v>3</v>
      </c>
      <c r="M21" s="87">
        <v>44562</v>
      </c>
      <c r="N21" s="88" t="s">
        <v>142</v>
      </c>
      <c r="O21" s="53">
        <f t="shared" si="0"/>
        <v>43341.687704310869</v>
      </c>
      <c r="P21" s="97">
        <f t="shared" si="1"/>
        <v>165141.6901908241</v>
      </c>
    </row>
    <row r="22" spans="2:16" x14ac:dyDescent="0.25">
      <c r="C22" t="s">
        <v>112</v>
      </c>
      <c r="D22" t="s">
        <v>194</v>
      </c>
      <c r="H22" s="90">
        <f>H21-25000</f>
        <v>609866.68838302698</v>
      </c>
      <c r="L22" s="101">
        <v>4</v>
      </c>
      <c r="M22" s="87">
        <v>44927</v>
      </c>
      <c r="N22" s="88" t="s">
        <v>143</v>
      </c>
      <c r="O22" s="53">
        <f t="shared" si="0"/>
        <v>43341.687704310869</v>
      </c>
      <c r="P22" s="97">
        <f t="shared" si="1"/>
        <v>216410.17902429454</v>
      </c>
    </row>
    <row r="23" spans="2:16" x14ac:dyDescent="0.25">
      <c r="C23" s="92" t="s">
        <v>264</v>
      </c>
      <c r="D23" t="s">
        <v>285</v>
      </c>
      <c r="H23" s="53">
        <f>PMT(H16,24,-H22,0)</f>
        <v>43341.687704310869</v>
      </c>
      <c r="I23" s="55" t="s">
        <v>113</v>
      </c>
      <c r="L23" s="101">
        <v>5</v>
      </c>
      <c r="M23" s="87">
        <v>45292</v>
      </c>
      <c r="N23" s="88" t="s">
        <v>144</v>
      </c>
      <c r="O23" s="53">
        <f t="shared" si="0"/>
        <v>43341.687704310869</v>
      </c>
      <c r="P23" s="97">
        <f t="shared" si="1"/>
        <v>270139.55532177154</v>
      </c>
    </row>
    <row r="24" spans="2:16" x14ac:dyDescent="0.25">
      <c r="D24" t="s">
        <v>195</v>
      </c>
      <c r="L24" s="101">
        <v>6</v>
      </c>
      <c r="M24" s="87">
        <v>45658</v>
      </c>
      <c r="N24" s="88" t="s">
        <v>145</v>
      </c>
      <c r="O24" s="53">
        <f t="shared" si="0"/>
        <v>43341.687704310869</v>
      </c>
      <c r="P24" s="97">
        <f t="shared" si="1"/>
        <v>326447.94168152747</v>
      </c>
    </row>
    <row r="25" spans="2:16" ht="18.75" x14ac:dyDescent="0.3">
      <c r="C25" s="110"/>
      <c r="D25" s="143" t="s">
        <v>263</v>
      </c>
      <c r="E25" s="143"/>
      <c r="F25" s="143"/>
      <c r="G25" s="143"/>
      <c r="H25" s="143"/>
      <c r="I25" s="110"/>
      <c r="L25" s="101">
        <v>7</v>
      </c>
      <c r="M25" s="87">
        <v>46023</v>
      </c>
      <c r="N25" s="88" t="s">
        <v>146</v>
      </c>
      <c r="O25" s="53">
        <f t="shared" si="0"/>
        <v>43341.687704310869</v>
      </c>
      <c r="P25" s="97">
        <f t="shared" si="1"/>
        <v>385459.13058655168</v>
      </c>
    </row>
    <row r="26" spans="2:16" x14ac:dyDescent="0.25">
      <c r="C26" s="92" t="s">
        <v>110</v>
      </c>
      <c r="D26" s="110" t="s">
        <v>286</v>
      </c>
      <c r="E26" s="110"/>
      <c r="F26" s="110"/>
      <c r="G26" s="110"/>
      <c r="H26" s="97">
        <f>-PV(H16,30,150000,0,1)</f>
        <v>2472633.4317359361</v>
      </c>
      <c r="I26" s="110"/>
      <c r="L26" s="101">
        <v>8</v>
      </c>
      <c r="M26" s="87">
        <v>46388</v>
      </c>
      <c r="N26" s="88" t="s">
        <v>147</v>
      </c>
      <c r="O26" s="53">
        <f t="shared" si="0"/>
        <v>43341.687704310869</v>
      </c>
      <c r="P26" s="97">
        <f t="shared" si="1"/>
        <v>447302.85655901703</v>
      </c>
    </row>
    <row r="27" spans="2:16" x14ac:dyDescent="0.25">
      <c r="C27" s="92" t="s">
        <v>111</v>
      </c>
      <c r="D27" s="110" t="s">
        <v>284</v>
      </c>
      <c r="E27" s="110"/>
      <c r="F27" s="110"/>
      <c r="G27" s="110"/>
      <c r="H27" s="97">
        <f>-PV(H16,29,0,H26)</f>
        <v>634866.6883830271</v>
      </c>
      <c r="I27" s="110"/>
      <c r="L27" s="101">
        <v>9</v>
      </c>
      <c r="M27" s="87">
        <v>46753</v>
      </c>
      <c r="N27" s="88" t="s">
        <v>148</v>
      </c>
      <c r="O27" s="53">
        <f t="shared" si="0"/>
        <v>43341.687704310869</v>
      </c>
      <c r="P27" s="97">
        <f t="shared" si="1"/>
        <v>512115.08137816074</v>
      </c>
    </row>
    <row r="28" spans="2:16" x14ac:dyDescent="0.25">
      <c r="C28" s="110" t="s">
        <v>112</v>
      </c>
      <c r="D28" s="110" t="s">
        <v>194</v>
      </c>
      <c r="E28" s="110"/>
      <c r="F28" s="110"/>
      <c r="G28" s="110"/>
      <c r="H28" s="97">
        <f>H27-25000</f>
        <v>609866.6883830271</v>
      </c>
      <c r="I28" s="110"/>
      <c r="L28" s="101">
        <v>10</v>
      </c>
      <c r="M28" s="87">
        <v>47119</v>
      </c>
      <c r="N28" s="88" t="s">
        <v>149</v>
      </c>
      <c r="O28" s="53">
        <f t="shared" si="0"/>
        <v>43341.687704310869</v>
      </c>
      <c r="P28" s="97">
        <f t="shared" si="1"/>
        <v>580038.29298862338</v>
      </c>
    </row>
    <row r="29" spans="2:16" x14ac:dyDescent="0.25">
      <c r="C29" s="92" t="s">
        <v>264</v>
      </c>
      <c r="D29" s="110" t="s">
        <v>285</v>
      </c>
      <c r="E29" s="110"/>
      <c r="F29" s="110"/>
      <c r="G29" s="110"/>
      <c r="H29" s="97">
        <f>PMT(H16,24,-H28,0)</f>
        <v>43341.687704310876</v>
      </c>
      <c r="I29" s="92" t="s">
        <v>113</v>
      </c>
      <c r="L29" s="101">
        <v>11</v>
      </c>
      <c r="M29" s="87">
        <v>47484</v>
      </c>
      <c r="N29" s="88" t="s">
        <v>150</v>
      </c>
      <c r="O29" s="53">
        <f t="shared" si="0"/>
        <v>43341.687704310869</v>
      </c>
      <c r="P29" s="97">
        <f t="shared" si="1"/>
        <v>651221.81875638815</v>
      </c>
    </row>
    <row r="30" spans="2:16" x14ac:dyDescent="0.25">
      <c r="D30" s="110" t="s">
        <v>195</v>
      </c>
      <c r="I30" s="110"/>
      <c r="L30" s="101">
        <v>12</v>
      </c>
      <c r="M30" s="87">
        <v>47849</v>
      </c>
      <c r="N30" s="88" t="s">
        <v>151</v>
      </c>
      <c r="O30" s="53">
        <f t="shared" si="0"/>
        <v>43341.687704310869</v>
      </c>
      <c r="P30" s="97">
        <f t="shared" si="1"/>
        <v>725822.15376100573</v>
      </c>
    </row>
    <row r="31" spans="2:16" x14ac:dyDescent="0.25">
      <c r="C31" s="110"/>
      <c r="D31" s="110"/>
      <c r="E31" s="110"/>
      <c r="F31" s="110"/>
      <c r="G31" s="110"/>
      <c r="H31" s="110"/>
      <c r="I31" s="110"/>
      <c r="L31" s="101">
        <v>13</v>
      </c>
      <c r="M31" s="87">
        <v>48214</v>
      </c>
      <c r="N31" s="88" t="s">
        <v>152</v>
      </c>
      <c r="O31" s="53">
        <f t="shared" si="0"/>
        <v>43341.687704310869</v>
      </c>
      <c r="P31" s="97">
        <f t="shared" si="1"/>
        <v>804003.30484584486</v>
      </c>
    </row>
    <row r="32" spans="2:16" x14ac:dyDescent="0.25">
      <c r="L32" s="101">
        <v>14</v>
      </c>
      <c r="M32" s="87">
        <v>48580</v>
      </c>
      <c r="N32" s="88" t="s">
        <v>153</v>
      </c>
      <c r="O32" s="53">
        <f t="shared" si="0"/>
        <v>43341.687704310869</v>
      </c>
      <c r="P32" s="97">
        <f t="shared" si="1"/>
        <v>885937.15118275629</v>
      </c>
    </row>
    <row r="33" spans="12:16" x14ac:dyDescent="0.25">
      <c r="L33" s="101">
        <v>15</v>
      </c>
      <c r="M33" s="87">
        <v>48945</v>
      </c>
      <c r="N33" s="88" t="s">
        <v>154</v>
      </c>
      <c r="O33" s="53">
        <f t="shared" si="0"/>
        <v>43341.687704310869</v>
      </c>
      <c r="P33" s="97">
        <f t="shared" si="1"/>
        <v>971803.82214383956</v>
      </c>
    </row>
    <row r="34" spans="12:16" x14ac:dyDescent="0.25">
      <c r="L34" s="101">
        <v>16</v>
      </c>
      <c r="M34" s="87">
        <v>49310</v>
      </c>
      <c r="N34" s="88" t="s">
        <v>155</v>
      </c>
      <c r="O34" s="53">
        <f t="shared" si="0"/>
        <v>43341.687704310869</v>
      </c>
      <c r="P34" s="97">
        <f t="shared" si="1"/>
        <v>1061792.0933110546</v>
      </c>
    </row>
    <row r="35" spans="12:16" x14ac:dyDescent="0.25">
      <c r="L35" s="101">
        <v>17</v>
      </c>
      <c r="M35" s="87">
        <v>49675</v>
      </c>
      <c r="N35" s="88" t="s">
        <v>156</v>
      </c>
      <c r="O35" s="53">
        <f t="shared" si="0"/>
        <v>43341.687704310869</v>
      </c>
      <c r="P35" s="97">
        <f t="shared" si="1"/>
        <v>1156099.8014942962</v>
      </c>
    </row>
    <row r="36" spans="12:16" x14ac:dyDescent="0.25">
      <c r="L36" s="101">
        <v>18</v>
      </c>
      <c r="M36" s="87">
        <v>50041</v>
      </c>
      <c r="N36" s="88" t="s">
        <v>157</v>
      </c>
      <c r="O36" s="53">
        <f t="shared" si="0"/>
        <v>43341.687704310869</v>
      </c>
      <c r="P36" s="97">
        <f t="shared" si="1"/>
        <v>1254934.2796703335</v>
      </c>
    </row>
    <row r="37" spans="12:16" x14ac:dyDescent="0.25">
      <c r="L37" s="101">
        <v>19</v>
      </c>
      <c r="M37" s="87">
        <v>50406</v>
      </c>
      <c r="N37" s="88" t="s">
        <v>158</v>
      </c>
      <c r="O37" s="53">
        <f t="shared" si="0"/>
        <v>43341.687704310869</v>
      </c>
      <c r="P37" s="97">
        <f t="shared" si="1"/>
        <v>1358512.8127988204</v>
      </c>
    </row>
    <row r="38" spans="12:16" x14ac:dyDescent="0.25">
      <c r="L38" s="101">
        <v>20</v>
      </c>
      <c r="M38" s="87">
        <v>50771</v>
      </c>
      <c r="N38" s="88" t="s">
        <v>159</v>
      </c>
      <c r="O38" s="53">
        <f t="shared" si="0"/>
        <v>43341.687704310869</v>
      </c>
      <c r="P38" s="97">
        <f t="shared" si="1"/>
        <v>1467063.1155174747</v>
      </c>
    </row>
    <row r="39" spans="12:16" x14ac:dyDescent="0.25">
      <c r="L39" s="101">
        <v>21</v>
      </c>
      <c r="M39" s="87">
        <v>51136</v>
      </c>
      <c r="N39" s="88" t="s">
        <v>160</v>
      </c>
      <c r="O39" s="53">
        <f t="shared" si="0"/>
        <v>43341.687704310869</v>
      </c>
      <c r="P39" s="97">
        <f t="shared" si="1"/>
        <v>1580823.8327666246</v>
      </c>
    </row>
    <row r="40" spans="12:16" x14ac:dyDescent="0.25">
      <c r="L40" s="101">
        <v>22</v>
      </c>
      <c r="M40" s="87">
        <v>51502</v>
      </c>
      <c r="N40" s="88" t="s">
        <v>161</v>
      </c>
      <c r="O40" s="53">
        <f t="shared" si="0"/>
        <v>43341.687704310869</v>
      </c>
      <c r="P40" s="97">
        <f t="shared" si="1"/>
        <v>1700045.0644437335</v>
      </c>
    </row>
    <row r="41" spans="12:16" x14ac:dyDescent="0.25">
      <c r="L41" s="101">
        <v>23</v>
      </c>
      <c r="M41" s="87">
        <v>51867</v>
      </c>
      <c r="N41" s="88" t="s">
        <v>162</v>
      </c>
      <c r="O41" s="53">
        <f t="shared" si="0"/>
        <v>43341.687704310869</v>
      </c>
      <c r="P41" s="97">
        <f t="shared" si="1"/>
        <v>1824988.9152413439</v>
      </c>
    </row>
    <row r="42" spans="12:16" x14ac:dyDescent="0.25">
      <c r="L42" s="101">
        <v>24</v>
      </c>
      <c r="M42" s="87">
        <v>52232</v>
      </c>
      <c r="N42" s="88" t="s">
        <v>163</v>
      </c>
      <c r="O42" s="53">
        <f t="shared" si="0"/>
        <v>43341.687704310869</v>
      </c>
      <c r="P42" s="97">
        <f t="shared" si="1"/>
        <v>1955930.0708772396</v>
      </c>
    </row>
    <row r="43" spans="12:16" x14ac:dyDescent="0.25">
      <c r="L43" s="101">
        <v>25</v>
      </c>
      <c r="M43" s="87">
        <v>52597</v>
      </c>
      <c r="N43" s="88" t="s">
        <v>189</v>
      </c>
      <c r="O43" s="110">
        <v>0</v>
      </c>
      <c r="P43" s="97">
        <f t="shared" si="1"/>
        <v>2049814.7142793471</v>
      </c>
    </row>
    <row r="44" spans="12:16" x14ac:dyDescent="0.25">
      <c r="L44" s="101">
        <v>26</v>
      </c>
      <c r="M44" s="87">
        <v>52963</v>
      </c>
      <c r="N44" s="88" t="s">
        <v>189</v>
      </c>
      <c r="O44" s="110">
        <v>0</v>
      </c>
      <c r="P44" s="97">
        <f t="shared" si="1"/>
        <v>2148205.8205647557</v>
      </c>
    </row>
    <row r="45" spans="12:16" x14ac:dyDescent="0.25">
      <c r="L45" s="101">
        <v>27</v>
      </c>
      <c r="M45" s="87">
        <v>53328</v>
      </c>
      <c r="N45" s="88" t="s">
        <v>189</v>
      </c>
      <c r="O45" s="110">
        <v>0</v>
      </c>
      <c r="P45" s="97">
        <f t="shared" si="1"/>
        <v>2251319.6999518638</v>
      </c>
    </row>
    <row r="46" spans="12:16" x14ac:dyDescent="0.25">
      <c r="L46" s="101">
        <v>28</v>
      </c>
      <c r="M46" s="87">
        <v>53693</v>
      </c>
      <c r="N46" s="88" t="s">
        <v>189</v>
      </c>
      <c r="O46" s="110">
        <v>0</v>
      </c>
      <c r="P46" s="97">
        <f t="shared" si="1"/>
        <v>2359383.0455495534</v>
      </c>
    </row>
    <row r="47" spans="12:16" x14ac:dyDescent="0.25">
      <c r="L47" s="101">
        <v>29</v>
      </c>
      <c r="M47" s="87">
        <v>54058</v>
      </c>
      <c r="N47" s="88" t="s">
        <v>164</v>
      </c>
      <c r="O47" s="110">
        <v>-150000</v>
      </c>
      <c r="P47" s="97">
        <f t="shared" si="1"/>
        <v>2322633.4317359319</v>
      </c>
    </row>
    <row r="48" spans="12:16" x14ac:dyDescent="0.25">
      <c r="L48" s="130">
        <v>30</v>
      </c>
      <c r="M48" s="87">
        <v>54424</v>
      </c>
      <c r="N48" s="88" t="s">
        <v>165</v>
      </c>
      <c r="O48" s="110">
        <v>-150000</v>
      </c>
      <c r="P48" s="97">
        <f t="shared" si="1"/>
        <v>2284119.8364592567</v>
      </c>
    </row>
    <row r="49" spans="8:16" x14ac:dyDescent="0.25">
      <c r="L49" s="101">
        <v>31</v>
      </c>
      <c r="M49" s="87">
        <v>54789</v>
      </c>
      <c r="N49" s="88" t="s">
        <v>166</v>
      </c>
      <c r="O49" s="110">
        <v>-150000</v>
      </c>
      <c r="P49" s="97">
        <f t="shared" si="1"/>
        <v>2243757.588609301</v>
      </c>
    </row>
    <row r="50" spans="8:16" x14ac:dyDescent="0.25">
      <c r="L50" s="101">
        <v>32</v>
      </c>
      <c r="M50" s="87">
        <v>55154</v>
      </c>
      <c r="N50" s="88" t="s">
        <v>167</v>
      </c>
      <c r="O50" s="110">
        <v>-150000</v>
      </c>
      <c r="P50" s="97">
        <f t="shared" si="1"/>
        <v>2201457.9528625477</v>
      </c>
    </row>
    <row r="51" spans="8:16" x14ac:dyDescent="0.25">
      <c r="L51" s="130">
        <v>33</v>
      </c>
      <c r="M51" s="87">
        <v>55519</v>
      </c>
      <c r="N51" s="88" t="s">
        <v>168</v>
      </c>
      <c r="O51" s="110">
        <v>-150000</v>
      </c>
      <c r="P51" s="97">
        <f t="shared" si="1"/>
        <v>2157127.93459995</v>
      </c>
    </row>
    <row r="52" spans="8:16" x14ac:dyDescent="0.25">
      <c r="L52" s="101">
        <v>34</v>
      </c>
      <c r="M52" s="87">
        <v>55885</v>
      </c>
      <c r="N52" s="88" t="s">
        <v>169</v>
      </c>
      <c r="O52" s="110">
        <v>-150000</v>
      </c>
      <c r="P52" s="97">
        <f t="shared" si="1"/>
        <v>2110670.0754607478</v>
      </c>
    </row>
    <row r="53" spans="8:16" x14ac:dyDescent="0.25">
      <c r="L53" s="101">
        <v>35</v>
      </c>
      <c r="M53" s="87">
        <v>56250</v>
      </c>
      <c r="N53" s="88" t="s">
        <v>170</v>
      </c>
      <c r="O53" s="110">
        <v>-150000</v>
      </c>
      <c r="P53" s="97">
        <f t="shared" si="1"/>
        <v>2061982.239082864</v>
      </c>
    </row>
    <row r="54" spans="8:16" x14ac:dyDescent="0.25">
      <c r="L54" s="101">
        <v>36</v>
      </c>
      <c r="M54" s="87">
        <v>56615</v>
      </c>
      <c r="N54" s="88" t="s">
        <v>171</v>
      </c>
      <c r="O54" s="110">
        <v>-150000</v>
      </c>
      <c r="P54" s="97">
        <f t="shared" si="1"/>
        <v>2010957.3865588414</v>
      </c>
    </row>
    <row r="55" spans="8:16" x14ac:dyDescent="0.25">
      <c r="H55" s="97"/>
      <c r="L55" s="110">
        <v>37</v>
      </c>
      <c r="M55" s="87">
        <v>56980</v>
      </c>
      <c r="N55" s="88" t="s">
        <v>172</v>
      </c>
      <c r="O55" s="110">
        <v>-150000</v>
      </c>
      <c r="P55" s="97">
        <f t="shared" si="1"/>
        <v>1957483.3411136661</v>
      </c>
    </row>
    <row r="56" spans="8:16" x14ac:dyDescent="0.25">
      <c r="L56" s="110">
        <v>38</v>
      </c>
      <c r="M56" s="87">
        <v>57346</v>
      </c>
      <c r="N56" s="88" t="s">
        <v>173</v>
      </c>
      <c r="O56" s="110">
        <v>-150000</v>
      </c>
      <c r="P56" s="97">
        <f t="shared" si="1"/>
        <v>1901442.5414871222</v>
      </c>
    </row>
    <row r="57" spans="8:16" x14ac:dyDescent="0.25">
      <c r="L57" s="110">
        <v>39</v>
      </c>
      <c r="M57" s="87">
        <v>57711</v>
      </c>
      <c r="N57" s="88" t="s">
        <v>174</v>
      </c>
      <c r="O57" s="110">
        <v>-150000</v>
      </c>
      <c r="P57" s="97">
        <f t="shared" si="1"/>
        <v>1842711.783478504</v>
      </c>
    </row>
    <row r="58" spans="8:16" x14ac:dyDescent="0.25">
      <c r="L58" s="110">
        <v>40</v>
      </c>
      <c r="M58" s="87">
        <v>58076</v>
      </c>
      <c r="N58" s="88" t="s">
        <v>175</v>
      </c>
      <c r="O58" s="110">
        <v>-150000</v>
      </c>
      <c r="P58" s="97">
        <f t="shared" si="1"/>
        <v>1781161.9490854724</v>
      </c>
    </row>
    <row r="59" spans="8:16" x14ac:dyDescent="0.25">
      <c r="L59" s="110">
        <v>41</v>
      </c>
      <c r="M59" s="87">
        <v>58441</v>
      </c>
      <c r="N59" s="88" t="s">
        <v>176</v>
      </c>
      <c r="O59" s="110">
        <v>-150000</v>
      </c>
      <c r="P59" s="97">
        <f t="shared" si="1"/>
        <v>1716657.7226415752</v>
      </c>
    </row>
    <row r="60" spans="8:16" x14ac:dyDescent="0.25">
      <c r="L60" s="110">
        <v>42</v>
      </c>
      <c r="M60" s="87">
        <v>58807</v>
      </c>
      <c r="N60" s="88" t="s">
        <v>177</v>
      </c>
      <c r="O60" s="110">
        <v>-150000</v>
      </c>
      <c r="P60" s="97">
        <f t="shared" si="1"/>
        <v>1649057.2933283709</v>
      </c>
    </row>
    <row r="61" spans="8:16" x14ac:dyDescent="0.25">
      <c r="L61" s="110">
        <v>43</v>
      </c>
      <c r="M61" s="87">
        <v>59172</v>
      </c>
      <c r="N61" s="88" t="s">
        <v>178</v>
      </c>
      <c r="O61" s="110">
        <v>-150000</v>
      </c>
      <c r="P61" s="97">
        <f t="shared" si="1"/>
        <v>1578212.0434081329</v>
      </c>
    </row>
    <row r="62" spans="8:16" x14ac:dyDescent="0.25">
      <c r="L62" s="110">
        <v>44</v>
      </c>
      <c r="M62" s="87">
        <v>59537</v>
      </c>
      <c r="N62" s="88" t="s">
        <v>179</v>
      </c>
      <c r="O62" s="110">
        <v>-150000</v>
      </c>
      <c r="P62" s="97">
        <f t="shared" si="1"/>
        <v>1503966.2214917233</v>
      </c>
    </row>
    <row r="63" spans="8:16" x14ac:dyDescent="0.25">
      <c r="L63" s="110">
        <v>45</v>
      </c>
      <c r="M63" s="87">
        <v>59902</v>
      </c>
      <c r="N63" s="88" t="s">
        <v>180</v>
      </c>
      <c r="O63" s="110">
        <v>-150000</v>
      </c>
      <c r="P63" s="97">
        <f t="shared" si="1"/>
        <v>1426156.6001233261</v>
      </c>
    </row>
    <row r="64" spans="8:16" x14ac:dyDescent="0.25">
      <c r="L64" s="110">
        <v>46</v>
      </c>
      <c r="M64" s="87">
        <v>60268</v>
      </c>
      <c r="N64" s="88" t="s">
        <v>181</v>
      </c>
      <c r="O64" s="110">
        <v>-150000</v>
      </c>
      <c r="P64" s="97">
        <f t="shared" si="1"/>
        <v>1344612.1169292459</v>
      </c>
    </row>
    <row r="65" spans="12:16" x14ac:dyDescent="0.25">
      <c r="L65" s="110">
        <v>47</v>
      </c>
      <c r="M65" s="87">
        <v>60633</v>
      </c>
      <c r="N65" s="88" t="s">
        <v>182</v>
      </c>
      <c r="O65" s="110">
        <v>-150000</v>
      </c>
      <c r="P65" s="97">
        <f t="shared" si="1"/>
        <v>1259153.4985418497</v>
      </c>
    </row>
    <row r="66" spans="12:16" x14ac:dyDescent="0.25">
      <c r="L66" s="110">
        <v>48</v>
      </c>
      <c r="M66" s="87">
        <v>60998</v>
      </c>
      <c r="N66" s="88" t="s">
        <v>183</v>
      </c>
      <c r="O66" s="110">
        <v>-150000</v>
      </c>
      <c r="P66" s="97">
        <f t="shared" si="1"/>
        <v>1169592.8664718585</v>
      </c>
    </row>
    <row r="67" spans="12:16" x14ac:dyDescent="0.25">
      <c r="L67" s="110">
        <v>49</v>
      </c>
      <c r="M67" s="87">
        <v>61363</v>
      </c>
      <c r="N67" s="88" t="s">
        <v>196</v>
      </c>
      <c r="O67" s="110">
        <v>-150000</v>
      </c>
      <c r="P67" s="97">
        <f t="shared" si="1"/>
        <v>1075733.3240625078</v>
      </c>
    </row>
    <row r="68" spans="12:16" x14ac:dyDescent="0.25">
      <c r="L68" s="110">
        <v>50</v>
      </c>
      <c r="M68" s="87">
        <v>61729</v>
      </c>
      <c r="N68" s="88" t="s">
        <v>197</v>
      </c>
      <c r="O68" s="110">
        <v>-150000</v>
      </c>
      <c r="P68" s="97">
        <f t="shared" si="1"/>
        <v>977368.52361750836</v>
      </c>
    </row>
    <row r="69" spans="12:16" x14ac:dyDescent="0.25">
      <c r="L69" s="110">
        <v>51</v>
      </c>
      <c r="M69" s="87">
        <v>62094</v>
      </c>
      <c r="N69" s="88" t="s">
        <v>198</v>
      </c>
      <c r="O69" s="110">
        <v>-150000</v>
      </c>
      <c r="P69" s="97">
        <f t="shared" si="1"/>
        <v>874282.21275114885</v>
      </c>
    </row>
    <row r="70" spans="12:16" x14ac:dyDescent="0.25">
      <c r="L70" s="110">
        <v>52</v>
      </c>
      <c r="M70" s="87">
        <v>62459</v>
      </c>
      <c r="N70" s="88" t="s">
        <v>199</v>
      </c>
      <c r="O70" s="110">
        <v>-150000</v>
      </c>
      <c r="P70" s="97">
        <f t="shared" si="1"/>
        <v>766247.75896320399</v>
      </c>
    </row>
    <row r="71" spans="12:16" x14ac:dyDescent="0.25">
      <c r="L71" s="110">
        <v>53</v>
      </c>
      <c r="M71" s="87">
        <v>62824</v>
      </c>
      <c r="N71" s="88" t="s">
        <v>200</v>
      </c>
      <c r="O71" s="110">
        <v>-150000</v>
      </c>
      <c r="P71" s="97">
        <f t="shared" si="1"/>
        <v>653027.65139343776</v>
      </c>
    </row>
    <row r="72" spans="12:16" x14ac:dyDescent="0.25">
      <c r="L72" s="110">
        <v>54</v>
      </c>
      <c r="M72" s="87">
        <v>63190</v>
      </c>
      <c r="N72" s="88" t="s">
        <v>258</v>
      </c>
      <c r="O72" s="110">
        <v>-150000</v>
      </c>
      <c r="P72" s="97">
        <f t="shared" si="1"/>
        <v>534372.97866032284</v>
      </c>
    </row>
    <row r="73" spans="12:16" x14ac:dyDescent="0.25">
      <c r="L73" s="110">
        <v>55</v>
      </c>
      <c r="M73" s="87">
        <v>63555</v>
      </c>
      <c r="N73" s="88" t="s">
        <v>259</v>
      </c>
      <c r="O73" s="110">
        <v>-150000</v>
      </c>
      <c r="P73" s="97">
        <f t="shared" si="1"/>
        <v>410022.8816360184</v>
      </c>
    </row>
    <row r="74" spans="12:16" x14ac:dyDescent="0.25">
      <c r="L74" s="110">
        <v>56</v>
      </c>
      <c r="M74" s="87">
        <v>63920</v>
      </c>
      <c r="N74" s="88" t="s">
        <v>260</v>
      </c>
      <c r="O74" s="110">
        <v>-150000</v>
      </c>
      <c r="P74" s="97">
        <f t="shared" si="1"/>
        <v>279703.97995454731</v>
      </c>
    </row>
    <row r="75" spans="12:16" x14ac:dyDescent="0.25">
      <c r="L75" s="110">
        <v>57</v>
      </c>
      <c r="M75" s="87">
        <v>64285</v>
      </c>
      <c r="N75" s="88" t="s">
        <v>261</v>
      </c>
      <c r="O75" s="110">
        <v>-150000</v>
      </c>
      <c r="P75" s="97">
        <f t="shared" si="1"/>
        <v>143129.77099236561</v>
      </c>
    </row>
    <row r="76" spans="12:16" x14ac:dyDescent="0.25">
      <c r="L76" s="110">
        <v>58</v>
      </c>
      <c r="M76" s="87">
        <v>64651</v>
      </c>
      <c r="N76" s="88" t="s">
        <v>262</v>
      </c>
      <c r="O76" s="110">
        <v>-150000</v>
      </c>
      <c r="P76" s="97">
        <f t="shared" si="1"/>
        <v>-8.440110832452774E-10</v>
      </c>
    </row>
    <row r="77" spans="12:16" x14ac:dyDescent="0.25">
      <c r="L77" s="110"/>
      <c r="M77" s="87"/>
      <c r="O77" s="110"/>
      <c r="P77" s="97"/>
    </row>
    <row r="78" spans="12:16" x14ac:dyDescent="0.25">
      <c r="L78" s="110"/>
      <c r="M78" s="87"/>
      <c r="O78" s="110"/>
      <c r="P78" s="97"/>
    </row>
    <row r="79" spans="12:16" x14ac:dyDescent="0.25">
      <c r="L79" s="110"/>
      <c r="M79" s="87"/>
      <c r="O79" s="110"/>
      <c r="P79" s="97"/>
    </row>
    <row r="80" spans="12:16" x14ac:dyDescent="0.25">
      <c r="L80" s="110"/>
      <c r="M80" s="87"/>
      <c r="O80" s="110"/>
      <c r="P80" s="97"/>
    </row>
    <row r="81" spans="13:16" x14ac:dyDescent="0.25">
      <c r="M81" s="87"/>
      <c r="O81" s="97"/>
      <c r="P81" s="97"/>
    </row>
    <row r="82" spans="13:16" x14ac:dyDescent="0.25">
      <c r="M82" s="87"/>
      <c r="O82" s="97"/>
      <c r="P82" s="97"/>
    </row>
    <row r="83" spans="13:16" x14ac:dyDescent="0.25">
      <c r="M83" s="87"/>
      <c r="O83" s="97"/>
      <c r="P83" s="97"/>
    </row>
    <row r="84" spans="13:16" x14ac:dyDescent="0.25">
      <c r="M84" s="87"/>
      <c r="O84" s="97"/>
      <c r="P84" s="97"/>
    </row>
    <row r="85" spans="13:16" x14ac:dyDescent="0.25">
      <c r="M85" s="87"/>
      <c r="O85" s="97"/>
      <c r="P85" s="97"/>
    </row>
  </sheetData>
  <mergeCells count="2">
    <mergeCell ref="B18:K18"/>
    <mergeCell ref="D25:H25"/>
  </mergeCells>
  <pageMargins left="0.7" right="0.7" top="0.75" bottom="0.75" header="0.3" footer="0.3"/>
  <pageSetup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30"/>
  <sheetViews>
    <sheetView showGridLines="0" zoomScale="145" zoomScaleNormal="145" workbookViewId="0"/>
  </sheetViews>
  <sheetFormatPr defaultColWidth="9.140625" defaultRowHeight="15" x14ac:dyDescent="0.25"/>
  <cols>
    <col min="1" max="1" width="4.28515625" style="110" customWidth="1"/>
    <col min="2" max="5" width="9.140625" style="110"/>
    <col min="6" max="6" width="13.28515625" style="110" bestFit="1" customWidth="1"/>
    <col min="7" max="7" width="12" style="110" customWidth="1"/>
    <col min="8" max="8" width="12.140625" style="110" customWidth="1"/>
    <col min="9" max="9" width="14.140625" style="110" customWidth="1"/>
    <col min="10" max="16384" width="9.140625" style="110"/>
  </cols>
  <sheetData>
    <row r="2" spans="2:11" x14ac:dyDescent="0.25">
      <c r="B2" s="102" t="s">
        <v>214</v>
      </c>
    </row>
    <row r="4" spans="2:11" x14ac:dyDescent="0.25">
      <c r="B4" s="102" t="s">
        <v>60</v>
      </c>
    </row>
    <row r="5" spans="2:11" s="102" customFormat="1" x14ac:dyDescent="0.25">
      <c r="B5" s="7" t="s">
        <v>8</v>
      </c>
      <c r="F5" s="112">
        <v>185000</v>
      </c>
    </row>
    <row r="6" spans="2:11" s="102" customFormat="1" x14ac:dyDescent="0.25">
      <c r="B6" s="7" t="s">
        <v>215</v>
      </c>
      <c r="F6" s="113">
        <v>4</v>
      </c>
    </row>
    <row r="7" spans="2:11" s="102" customFormat="1" x14ac:dyDescent="0.25">
      <c r="B7" s="7" t="s">
        <v>9</v>
      </c>
      <c r="F7" s="114">
        <v>5.2499999999999998E-2</v>
      </c>
    </row>
    <row r="8" spans="2:11" s="102" customFormat="1" x14ac:dyDescent="0.25">
      <c r="B8" s="7"/>
      <c r="F8" s="115"/>
    </row>
    <row r="9" spans="2:11" s="102" customFormat="1" x14ac:dyDescent="0.25">
      <c r="B9" s="7" t="s">
        <v>216</v>
      </c>
      <c r="F9" s="116">
        <v>38</v>
      </c>
    </row>
    <row r="10" spans="2:11" s="102" customFormat="1" x14ac:dyDescent="0.25">
      <c r="B10" s="7"/>
    </row>
    <row r="11" spans="2:11" x14ac:dyDescent="0.25">
      <c r="B11" s="117" t="s">
        <v>217</v>
      </c>
    </row>
    <row r="12" spans="2:11" x14ac:dyDescent="0.25">
      <c r="B12" s="117" t="s">
        <v>218</v>
      </c>
    </row>
    <row r="13" spans="2:11" x14ac:dyDescent="0.25">
      <c r="B13" s="117" t="s">
        <v>219</v>
      </c>
    </row>
    <row r="14" spans="2:11" x14ac:dyDescent="0.25">
      <c r="B14" s="117" t="s">
        <v>220</v>
      </c>
    </row>
    <row r="15" spans="2:11" ht="15.75" thickBot="1" x14ac:dyDescent="0.3"/>
    <row r="16" spans="2:11" ht="15.75" thickBot="1" x14ac:dyDescent="0.3">
      <c r="B16" s="144" t="s">
        <v>221</v>
      </c>
      <c r="C16" s="144"/>
      <c r="D16" s="144"/>
      <c r="E16" s="144"/>
      <c r="F16" s="144"/>
      <c r="G16" s="144"/>
      <c r="H16" s="144"/>
      <c r="I16" s="144"/>
      <c r="J16" s="144"/>
      <c r="K16" s="144"/>
    </row>
    <row r="18" spans="2:11" x14ac:dyDescent="0.25">
      <c r="B18" s="118" t="s">
        <v>222</v>
      </c>
    </row>
    <row r="19" spans="2:11" ht="15.75" thickBot="1" x14ac:dyDescent="0.3"/>
    <row r="20" spans="2:11" ht="15.75" thickBot="1" x14ac:dyDescent="0.3">
      <c r="C20" s="102" t="s">
        <v>223</v>
      </c>
      <c r="I20" s="48">
        <f>PMT(F7/12,F6*12,-F5)</f>
        <v>4281.4018589386224</v>
      </c>
    </row>
    <row r="21" spans="2:11" ht="15.75" thickBot="1" x14ac:dyDescent="0.3">
      <c r="C21" s="102" t="s">
        <v>224</v>
      </c>
      <c r="I21" s="48">
        <f>I28</f>
        <v>200.7348383413939</v>
      </c>
    </row>
    <row r="22" spans="2:11" ht="15.75" thickBot="1" x14ac:dyDescent="0.3">
      <c r="C22" s="102" t="s">
        <v>225</v>
      </c>
      <c r="I22" s="48">
        <f t="shared" ref="I22:I23" si="0">I29</f>
        <v>4080.6670205972287</v>
      </c>
    </row>
    <row r="23" spans="2:11" ht="15.75" thickBot="1" x14ac:dyDescent="0.3">
      <c r="C23" s="102" t="s">
        <v>226</v>
      </c>
      <c r="I23" s="48">
        <f t="shared" si="0"/>
        <v>41801.581743149953</v>
      </c>
    </row>
    <row r="24" spans="2:11" ht="15.75" thickBot="1" x14ac:dyDescent="0.3"/>
    <row r="25" spans="2:11" ht="15.75" thickBot="1" x14ac:dyDescent="0.3">
      <c r="B25" s="144" t="s">
        <v>109</v>
      </c>
      <c r="C25" s="144"/>
      <c r="D25" s="144"/>
      <c r="E25" s="144"/>
      <c r="F25" s="144"/>
      <c r="G25" s="144"/>
      <c r="H25" s="144"/>
      <c r="I25" s="144"/>
      <c r="J25" s="144"/>
      <c r="K25" s="144"/>
    </row>
    <row r="27" spans="2:11" x14ac:dyDescent="0.25">
      <c r="C27" s="110" t="s">
        <v>227</v>
      </c>
      <c r="I27" s="97">
        <f>PV(F7/12,F6*12-F9+1,-I20)</f>
        <v>45882.248763747179</v>
      </c>
    </row>
    <row r="28" spans="2:11" x14ac:dyDescent="0.25">
      <c r="C28" s="110" t="s">
        <v>228</v>
      </c>
      <c r="I28" s="97">
        <f>I27*F7/12</f>
        <v>200.7348383413939</v>
      </c>
    </row>
    <row r="29" spans="2:11" x14ac:dyDescent="0.25">
      <c r="C29" s="110" t="s">
        <v>229</v>
      </c>
      <c r="I29" s="97">
        <f>I20-I28</f>
        <v>4080.6670205972287</v>
      </c>
    </row>
    <row r="30" spans="2:11" x14ac:dyDescent="0.25">
      <c r="C30" s="110" t="s">
        <v>230</v>
      </c>
      <c r="I30" s="97">
        <f>I27-I29</f>
        <v>41801.581743149953</v>
      </c>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O134"/>
  <sheetViews>
    <sheetView showGridLines="0" zoomScale="115" zoomScaleNormal="115" workbookViewId="0"/>
  </sheetViews>
  <sheetFormatPr defaultRowHeight="15" x14ac:dyDescent="0.25"/>
  <cols>
    <col min="1" max="1" width="3.5703125" customWidth="1"/>
    <col min="2" max="2" width="5" customWidth="1"/>
    <col min="3" max="3" width="12.5703125" customWidth="1"/>
    <col min="4" max="4" width="16" customWidth="1"/>
    <col min="5" max="5" width="13.7109375" customWidth="1"/>
    <col min="6" max="6" width="10.28515625" customWidth="1"/>
    <col min="7" max="7" width="11.5703125" customWidth="1"/>
    <col min="8" max="8" width="12.28515625" bestFit="1" customWidth="1"/>
    <col min="10" max="14" width="12.7109375" customWidth="1"/>
    <col min="15" max="15" width="11.7109375" bestFit="1" customWidth="1"/>
  </cols>
  <sheetData>
    <row r="2" spans="2:8" ht="23.25" x14ac:dyDescent="0.35">
      <c r="B2" s="1" t="s">
        <v>97</v>
      </c>
    </row>
    <row r="3" spans="2:8" ht="23.25" x14ac:dyDescent="0.35">
      <c r="B3" s="1"/>
    </row>
    <row r="4" spans="2:8" ht="23.25" x14ac:dyDescent="0.35">
      <c r="B4" s="1"/>
    </row>
    <row r="5" spans="2:8" ht="23.25" x14ac:dyDescent="0.35">
      <c r="B5" s="1"/>
    </row>
    <row r="6" spans="2:8" ht="23.25" x14ac:dyDescent="0.35">
      <c r="B6" s="1"/>
    </row>
    <row r="7" spans="2:8" ht="23.25" x14ac:dyDescent="0.35">
      <c r="B7" s="1"/>
    </row>
    <row r="10" spans="2:8" x14ac:dyDescent="0.25">
      <c r="H10" s="4"/>
    </row>
    <row r="11" spans="2:8" ht="14.65" customHeight="1" x14ac:dyDescent="0.25">
      <c r="B11" s="40" t="s">
        <v>0</v>
      </c>
      <c r="C11" s="106" t="s">
        <v>2</v>
      </c>
    </row>
    <row r="12" spans="2:8" ht="14.65" customHeight="1" x14ac:dyDescent="0.25">
      <c r="C12" s="106" t="s">
        <v>90</v>
      </c>
    </row>
    <row r="13" spans="2:8" ht="14.65" customHeight="1" x14ac:dyDescent="0.25">
      <c r="C13" s="106" t="s">
        <v>301</v>
      </c>
    </row>
    <row r="14" spans="2:8" ht="14.65" customHeight="1" x14ac:dyDescent="0.25">
      <c r="C14" s="106" t="s">
        <v>98</v>
      </c>
    </row>
    <row r="15" spans="2:8" ht="15.75" thickBot="1" x14ac:dyDescent="0.3"/>
    <row r="16" spans="2:8" ht="15.75" thickBot="1" x14ac:dyDescent="0.3">
      <c r="D16" s="60" t="s">
        <v>89</v>
      </c>
      <c r="E16" s="61" t="s">
        <v>4</v>
      </c>
      <c r="F16" s="58"/>
    </row>
    <row r="17" spans="3:10" x14ac:dyDescent="0.25">
      <c r="D17" s="62">
        <v>1</v>
      </c>
      <c r="E17" s="65">
        <v>0</v>
      </c>
      <c r="F17" s="58"/>
    </row>
    <row r="18" spans="3:10" ht="15.75" thickBot="1" x14ac:dyDescent="0.3">
      <c r="D18" s="64">
        <v>2</v>
      </c>
      <c r="E18" s="65">
        <v>0</v>
      </c>
      <c r="F18" s="58"/>
    </row>
    <row r="19" spans="3:10" ht="15.75" thickBot="1" x14ac:dyDescent="0.3">
      <c r="D19" s="64">
        <v>3</v>
      </c>
      <c r="E19" s="93">
        <v>7500</v>
      </c>
      <c r="F19" s="58" t="s">
        <v>5</v>
      </c>
      <c r="H19" s="120"/>
    </row>
    <row r="20" spans="3:10" x14ac:dyDescent="0.25">
      <c r="D20" s="64">
        <v>4</v>
      </c>
      <c r="E20" s="94">
        <f t="shared" ref="E20:E24" si="0">E19</f>
        <v>7500</v>
      </c>
      <c r="H20" s="120"/>
    </row>
    <row r="21" spans="3:10" x14ac:dyDescent="0.25">
      <c r="D21" s="64">
        <v>5</v>
      </c>
      <c r="E21" s="94">
        <f t="shared" si="0"/>
        <v>7500</v>
      </c>
      <c r="H21" s="120"/>
      <c r="J21" s="120"/>
    </row>
    <row r="22" spans="3:10" x14ac:dyDescent="0.25">
      <c r="D22" s="64">
        <v>6</v>
      </c>
      <c r="E22" s="94">
        <f t="shared" si="0"/>
        <v>7500</v>
      </c>
      <c r="F22" s="58"/>
      <c r="H22" s="120"/>
      <c r="J22" s="120"/>
    </row>
    <row r="23" spans="3:10" x14ac:dyDescent="0.25">
      <c r="D23" s="64">
        <v>7</v>
      </c>
      <c r="E23" s="94">
        <f t="shared" si="0"/>
        <v>7500</v>
      </c>
      <c r="F23" s="58"/>
      <c r="H23" s="120"/>
      <c r="J23" s="120"/>
    </row>
    <row r="24" spans="3:10" x14ac:dyDescent="0.25">
      <c r="D24" s="64">
        <v>8</v>
      </c>
      <c r="E24" s="94">
        <f t="shared" si="0"/>
        <v>7500</v>
      </c>
      <c r="F24" s="58"/>
      <c r="H24" s="120"/>
      <c r="J24" s="120"/>
    </row>
    <row r="25" spans="3:10" ht="15.75" thickBot="1" x14ac:dyDescent="0.3">
      <c r="D25" s="66">
        <v>9</v>
      </c>
      <c r="E25" s="65">
        <f t="shared" ref="E25" si="1">E24</f>
        <v>7500</v>
      </c>
      <c r="F25" s="58"/>
      <c r="H25" s="120"/>
      <c r="J25" s="120"/>
    </row>
    <row r="26" spans="3:10" s="57" customFormat="1" ht="15.75" thickBot="1" x14ac:dyDescent="0.3">
      <c r="D26" s="59">
        <v>10</v>
      </c>
      <c r="E26" s="63">
        <v>10000</v>
      </c>
      <c r="F26" s="58" t="s">
        <v>5</v>
      </c>
      <c r="H26" s="120"/>
      <c r="J26" s="120"/>
    </row>
    <row r="27" spans="3:10" x14ac:dyDescent="0.25">
      <c r="J27" s="120"/>
    </row>
    <row r="28" spans="3:10" x14ac:dyDescent="0.25">
      <c r="C28" t="s">
        <v>91</v>
      </c>
      <c r="E28" s="3">
        <v>6.5000000000000002E-2</v>
      </c>
      <c r="I28" s="4"/>
    </row>
    <row r="30" spans="3:10" x14ac:dyDescent="0.25">
      <c r="C30" t="s">
        <v>92</v>
      </c>
    </row>
    <row r="31" spans="3:10" x14ac:dyDescent="0.25">
      <c r="C31" t="s">
        <v>93</v>
      </c>
    </row>
    <row r="32" spans="3:10" x14ac:dyDescent="0.25">
      <c r="C32" s="67" t="s">
        <v>231</v>
      </c>
    </row>
    <row r="33" spans="2:8" ht="15.75" thickBot="1" x14ac:dyDescent="0.3"/>
    <row r="34" spans="2:8" ht="15.75" thickBot="1" x14ac:dyDescent="0.3">
      <c r="C34" t="s">
        <v>94</v>
      </c>
      <c r="D34" s="145">
        <f>PV(E28,2,0,PV(E28,8,E19,E26-E19))</f>
        <v>41593.343617606472</v>
      </c>
      <c r="E34" s="146"/>
    </row>
    <row r="36" spans="2:8" x14ac:dyDescent="0.25">
      <c r="B36" s="71" t="s">
        <v>1</v>
      </c>
      <c r="C36" s="68" t="s">
        <v>114</v>
      </c>
      <c r="D36" s="68"/>
      <c r="E36" s="68"/>
      <c r="F36" s="68"/>
      <c r="G36" s="68"/>
      <c r="H36" s="68"/>
    </row>
    <row r="37" spans="2:8" s="67" customFormat="1" x14ac:dyDescent="0.25">
      <c r="B37" s="68"/>
      <c r="C37" s="73" t="s">
        <v>115</v>
      </c>
      <c r="D37" s="68"/>
      <c r="E37" s="68"/>
      <c r="F37" s="68"/>
      <c r="G37" s="68"/>
      <c r="H37" s="68"/>
    </row>
    <row r="38" spans="2:8" s="67" customFormat="1" x14ac:dyDescent="0.25">
      <c r="B38" s="68"/>
      <c r="C38" s="73" t="s">
        <v>241</v>
      </c>
      <c r="D38" s="68"/>
      <c r="E38" s="68"/>
      <c r="F38" s="68"/>
      <c r="G38" s="68"/>
      <c r="H38" s="68"/>
    </row>
    <row r="39" spans="2:8" s="67" customFormat="1" ht="15.75" thickBot="1" x14ac:dyDescent="0.3">
      <c r="B39" s="68"/>
      <c r="C39" s="68"/>
      <c r="D39" s="68"/>
      <c r="E39" s="68"/>
      <c r="F39" s="68"/>
      <c r="G39" s="68"/>
      <c r="H39" s="68"/>
    </row>
    <row r="40" spans="2:8" s="67" customFormat="1" ht="15.75" thickBot="1" x14ac:dyDescent="0.3">
      <c r="B40" s="68"/>
      <c r="C40" s="74" t="s">
        <v>116</v>
      </c>
      <c r="D40" s="68"/>
      <c r="E40" s="68"/>
      <c r="F40" s="75">
        <v>9.8500000000000004E-2</v>
      </c>
      <c r="G40" s="68"/>
      <c r="H40" s="68"/>
    </row>
    <row r="41" spans="2:8" s="67" customFormat="1" ht="15.75" thickBot="1" x14ac:dyDescent="0.3">
      <c r="B41" s="68"/>
      <c r="C41" s="68"/>
      <c r="D41" s="68"/>
      <c r="E41" s="69"/>
      <c r="F41" s="69"/>
      <c r="G41" s="68"/>
      <c r="H41" s="68"/>
    </row>
    <row r="42" spans="2:8" s="67" customFormat="1" ht="45.75" thickBot="1" x14ac:dyDescent="0.3">
      <c r="B42" s="68"/>
      <c r="C42" s="68"/>
      <c r="D42" s="68"/>
      <c r="E42" s="77" t="s">
        <v>117</v>
      </c>
      <c r="F42" s="77" t="s">
        <v>118</v>
      </c>
      <c r="G42" s="68"/>
      <c r="H42" s="68"/>
    </row>
    <row r="43" spans="2:8" s="67" customFormat="1" x14ac:dyDescent="0.25">
      <c r="B43" s="68"/>
      <c r="C43" s="68"/>
      <c r="D43" s="68"/>
      <c r="E43" s="70" t="s">
        <v>78</v>
      </c>
      <c r="F43" s="76">
        <f>FV(F40/4,4,0,-1)-1</f>
        <v>0.10219844093615227</v>
      </c>
      <c r="G43" s="68"/>
      <c r="H43" s="68"/>
    </row>
    <row r="44" spans="2:8" s="67" customFormat="1" x14ac:dyDescent="0.25">
      <c r="B44" s="68"/>
      <c r="C44" s="68"/>
      <c r="D44" s="68"/>
      <c r="E44" s="70" t="s">
        <v>79</v>
      </c>
      <c r="F44" s="76">
        <f>FV(F40/12,12,0,-1)-1</f>
        <v>0.10307081265017315</v>
      </c>
      <c r="G44" s="68"/>
      <c r="H44" s="68"/>
    </row>
    <row r="45" spans="2:8" s="67" customFormat="1" ht="15.75" thickBot="1" x14ac:dyDescent="0.3">
      <c r="B45" s="68"/>
      <c r="C45" s="68"/>
      <c r="D45" s="68"/>
      <c r="E45" s="70" t="s">
        <v>119</v>
      </c>
      <c r="F45" s="76">
        <f>FV(F40/365,365,0,-1)-1</f>
        <v>0.10349974059202927</v>
      </c>
      <c r="G45" s="68"/>
      <c r="H45" s="68"/>
    </row>
    <row r="46" spans="2:8" s="67" customFormat="1" ht="15.75" thickBot="1" x14ac:dyDescent="0.3">
      <c r="B46" s="68"/>
      <c r="C46" s="68"/>
      <c r="D46" s="68"/>
      <c r="E46" s="78" t="s">
        <v>120</v>
      </c>
      <c r="F46" s="72">
        <f>EXP(F40)-1</f>
        <v>0.10351440439439141</v>
      </c>
      <c r="G46" s="68"/>
      <c r="H46" s="68"/>
    </row>
    <row r="47" spans="2:8" s="67" customFormat="1" x14ac:dyDescent="0.25"/>
    <row r="48" spans="2:8" s="67" customFormat="1" x14ac:dyDescent="0.25"/>
    <row r="49" spans="2:7" x14ac:dyDescent="0.25">
      <c r="B49" s="55" t="s">
        <v>6</v>
      </c>
      <c r="C49" t="s">
        <v>75</v>
      </c>
    </row>
    <row r="50" spans="2:7" s="91" customFormat="1" ht="15.75" thickBot="1" x14ac:dyDescent="0.3">
      <c r="B50" s="92"/>
    </row>
    <row r="51" spans="2:7" s="110" customFormat="1" ht="15.75" thickBot="1" x14ac:dyDescent="0.3">
      <c r="B51" s="92"/>
      <c r="D51" s="60" t="s">
        <v>89</v>
      </c>
      <c r="E51" s="61" t="s">
        <v>4</v>
      </c>
    </row>
    <row r="52" spans="2:7" s="110" customFormat="1" x14ac:dyDescent="0.25">
      <c r="B52" s="92"/>
      <c r="D52" s="121">
        <v>0</v>
      </c>
      <c r="E52" s="122">
        <v>3000</v>
      </c>
      <c r="G52" s="125"/>
    </row>
    <row r="53" spans="2:7" s="110" customFormat="1" x14ac:dyDescent="0.25">
      <c r="B53" s="92"/>
      <c r="D53" s="64">
        <v>1</v>
      </c>
      <c r="E53" s="94">
        <v>1500</v>
      </c>
      <c r="G53" s="125"/>
    </row>
    <row r="54" spans="2:7" s="110" customFormat="1" x14ac:dyDescent="0.25">
      <c r="B54" s="92"/>
      <c r="D54" s="64">
        <v>2</v>
      </c>
      <c r="E54" s="94">
        <v>1500</v>
      </c>
      <c r="G54" s="125"/>
    </row>
    <row r="55" spans="2:7" s="110" customFormat="1" x14ac:dyDescent="0.25">
      <c r="B55" s="92"/>
      <c r="D55" s="64">
        <v>3</v>
      </c>
      <c r="E55" s="124" t="s">
        <v>242</v>
      </c>
      <c r="G55" s="125"/>
    </row>
    <row r="56" spans="2:7" s="110" customFormat="1" x14ac:dyDescent="0.25">
      <c r="B56" s="92"/>
      <c r="D56" s="64">
        <v>4</v>
      </c>
      <c r="E56" s="124" t="s">
        <v>242</v>
      </c>
      <c r="G56" s="125"/>
    </row>
    <row r="57" spans="2:7" s="110" customFormat="1" x14ac:dyDescent="0.25">
      <c r="B57" s="92"/>
      <c r="D57" s="64">
        <v>5</v>
      </c>
      <c r="E57" s="124" t="s">
        <v>242</v>
      </c>
      <c r="G57" s="125"/>
    </row>
    <row r="58" spans="2:7" s="110" customFormat="1" x14ac:dyDescent="0.25">
      <c r="B58" s="92"/>
      <c r="D58" s="64">
        <v>6</v>
      </c>
      <c r="E58" s="124" t="s">
        <v>242</v>
      </c>
      <c r="G58" s="125"/>
    </row>
    <row r="59" spans="2:7" s="110" customFormat="1" x14ac:dyDescent="0.25">
      <c r="B59" s="92"/>
      <c r="D59" s="64">
        <v>7</v>
      </c>
      <c r="E59" s="124">
        <v>2500</v>
      </c>
      <c r="G59" s="125"/>
    </row>
    <row r="60" spans="2:7" s="110" customFormat="1" x14ac:dyDescent="0.25">
      <c r="B60" s="92"/>
      <c r="D60" s="64">
        <v>8</v>
      </c>
      <c r="E60" s="124">
        <v>2500</v>
      </c>
      <c r="G60" s="125"/>
    </row>
    <row r="61" spans="2:7" s="110" customFormat="1" x14ac:dyDescent="0.25">
      <c r="B61" s="92"/>
      <c r="D61" s="64">
        <v>9</v>
      </c>
      <c r="E61" s="124">
        <v>2500</v>
      </c>
      <c r="G61" s="125"/>
    </row>
    <row r="62" spans="2:7" s="110" customFormat="1" ht="15.75" thickBot="1" x14ac:dyDescent="0.3">
      <c r="B62" s="92"/>
      <c r="D62" s="59">
        <v>10</v>
      </c>
      <c r="E62" s="123">
        <v>1500</v>
      </c>
      <c r="G62" s="125"/>
    </row>
    <row r="63" spans="2:7" s="110" customFormat="1" x14ac:dyDescent="0.25">
      <c r="B63" s="92"/>
      <c r="G63" s="125"/>
    </row>
    <row r="64" spans="2:7" x14ac:dyDescent="0.25">
      <c r="C64" s="95" t="s">
        <v>287</v>
      </c>
    </row>
    <row r="65" spans="2:15" ht="14.65" customHeight="1" x14ac:dyDescent="0.25">
      <c r="C65" s="106" t="s">
        <v>289</v>
      </c>
    </row>
    <row r="66" spans="2:15" x14ac:dyDescent="0.25">
      <c r="C66" s="95" t="s">
        <v>76</v>
      </c>
      <c r="L66" s="4"/>
    </row>
    <row r="67" spans="2:15" x14ac:dyDescent="0.25">
      <c r="C67" s="95" t="s">
        <v>253</v>
      </c>
    </row>
    <row r="68" spans="2:15" s="110" customFormat="1" x14ac:dyDescent="0.25">
      <c r="C68" s="110" t="s">
        <v>254</v>
      </c>
    </row>
    <row r="69" spans="2:15" s="110" customFormat="1" x14ac:dyDescent="0.25">
      <c r="C69" s="110" t="s">
        <v>255</v>
      </c>
    </row>
    <row r="70" spans="2:15" s="79" customFormat="1" x14ac:dyDescent="0.25">
      <c r="O70" s="97"/>
    </row>
    <row r="71" spans="2:15" x14ac:dyDescent="0.25">
      <c r="J71" s="95"/>
      <c r="K71" s="95"/>
      <c r="L71" s="96"/>
      <c r="N71" s="79"/>
      <c r="O71" s="97"/>
    </row>
    <row r="72" spans="2:15" x14ac:dyDescent="0.25">
      <c r="C72" s="95" t="s">
        <v>252</v>
      </c>
      <c r="D72" s="95"/>
      <c r="E72" s="96">
        <f>3000+PV(0.08,2,-1500)+PV(0.08,6,0,PV(0.08,4,2500,-1000))</f>
        <v>10429.707968707517</v>
      </c>
      <c r="J72" s="95"/>
      <c r="K72" s="95"/>
      <c r="L72" s="96"/>
      <c r="O72" s="110"/>
    </row>
    <row r="73" spans="2:15" x14ac:dyDescent="0.25">
      <c r="C73" s="95" t="s">
        <v>95</v>
      </c>
      <c r="D73" s="95"/>
      <c r="E73" s="96">
        <f>18000-E72</f>
        <v>7570.2920312924834</v>
      </c>
      <c r="J73" s="95"/>
      <c r="K73" s="95"/>
      <c r="L73" s="96"/>
      <c r="O73" s="110"/>
    </row>
    <row r="74" spans="2:15" x14ac:dyDescent="0.25">
      <c r="C74" s="95" t="s">
        <v>288</v>
      </c>
      <c r="D74" s="95"/>
      <c r="E74" s="96">
        <f>FV(0.08,2,0,-E73)</f>
        <v>8829.988625299553</v>
      </c>
      <c r="J74" s="95"/>
      <c r="K74" s="95"/>
      <c r="L74" s="96"/>
      <c r="O74" s="110"/>
    </row>
    <row r="75" spans="2:15" x14ac:dyDescent="0.25">
      <c r="C75" s="95" t="s">
        <v>96</v>
      </c>
      <c r="D75" s="95"/>
      <c r="E75" s="96">
        <f>PMT(0.08,4,-E74)</f>
        <v>2665.9572690704581</v>
      </c>
      <c r="J75" s="95"/>
      <c r="K75" s="95"/>
      <c r="L75" s="96"/>
      <c r="O75" s="110"/>
    </row>
    <row r="76" spans="2:15" x14ac:dyDescent="0.25">
      <c r="J76" s="95"/>
      <c r="K76" s="95"/>
      <c r="L76" s="96"/>
    </row>
    <row r="77" spans="2:15" x14ac:dyDescent="0.25">
      <c r="H77" s="95"/>
      <c r="J77" s="95"/>
      <c r="K77" s="95"/>
      <c r="L77" s="96"/>
    </row>
    <row r="78" spans="2:15" x14ac:dyDescent="0.25">
      <c r="F78" s="40"/>
      <c r="O78" s="97"/>
    </row>
    <row r="79" spans="2:15" x14ac:dyDescent="0.25">
      <c r="B79" s="55" t="s">
        <v>7</v>
      </c>
      <c r="C79" s="110" t="s">
        <v>20</v>
      </c>
    </row>
    <row r="80" spans="2:15" ht="17.25" x14ac:dyDescent="0.4">
      <c r="C80" s="110" t="s">
        <v>299</v>
      </c>
      <c r="I80" s="18" t="s">
        <v>3</v>
      </c>
      <c r="J80" s="18" t="s">
        <v>17</v>
      </c>
      <c r="K80" s="18" t="s">
        <v>18</v>
      </c>
      <c r="L80" s="18" t="s">
        <v>28</v>
      </c>
      <c r="M80" s="18" t="s">
        <v>19</v>
      </c>
      <c r="N80" s="18"/>
    </row>
    <row r="81" spans="2:13" x14ac:dyDescent="0.25">
      <c r="C81" s="110" t="s">
        <v>243</v>
      </c>
      <c r="I81" s="17">
        <v>1</v>
      </c>
      <c r="J81">
        <v>2500</v>
      </c>
      <c r="K81">
        <v>1800</v>
      </c>
      <c r="L81">
        <v>300</v>
      </c>
      <c r="M81">
        <v>125</v>
      </c>
    </row>
    <row r="82" spans="2:13" ht="15.75" thickBot="1" x14ac:dyDescent="0.3">
      <c r="I82" s="17">
        <v>2</v>
      </c>
      <c r="J82">
        <v>3000</v>
      </c>
      <c r="K82">
        <v>2200</v>
      </c>
      <c r="L82">
        <v>315</v>
      </c>
      <c r="M82">
        <v>150</v>
      </c>
    </row>
    <row r="83" spans="2:13" ht="15.75" thickBot="1" x14ac:dyDescent="0.3">
      <c r="C83" s="7" t="s">
        <v>21</v>
      </c>
      <c r="E83" s="19">
        <v>6</v>
      </c>
      <c r="I83" s="17">
        <v>3</v>
      </c>
      <c r="J83">
        <v>3250</v>
      </c>
      <c r="K83">
        <v>2400</v>
      </c>
      <c r="L83">
        <v>325</v>
      </c>
      <c r="M83">
        <v>162</v>
      </c>
    </row>
    <row r="84" spans="2:13" ht="15.75" thickBot="1" x14ac:dyDescent="0.3">
      <c r="C84" s="16"/>
      <c r="I84" s="17">
        <v>4</v>
      </c>
      <c r="J84">
        <v>4000</v>
      </c>
      <c r="K84">
        <v>3100</v>
      </c>
      <c r="L84">
        <v>400</v>
      </c>
      <c r="M84">
        <v>200</v>
      </c>
    </row>
    <row r="85" spans="2:13" ht="15.75" thickBot="1" x14ac:dyDescent="0.3">
      <c r="C85" s="7" t="s">
        <v>300</v>
      </c>
      <c r="E85" s="20">
        <f>VLOOKUP(E83,I81:M90,5)</f>
        <v>260</v>
      </c>
      <c r="I85" s="17">
        <v>5</v>
      </c>
      <c r="J85">
        <v>4500</v>
      </c>
      <c r="K85">
        <v>3300</v>
      </c>
      <c r="L85">
        <v>430</v>
      </c>
      <c r="M85">
        <v>225</v>
      </c>
    </row>
    <row r="86" spans="2:13" x14ac:dyDescent="0.25">
      <c r="I86" s="17">
        <v>6</v>
      </c>
      <c r="J86">
        <v>5200</v>
      </c>
      <c r="K86">
        <v>3900</v>
      </c>
      <c r="L86">
        <v>450</v>
      </c>
      <c r="M86">
        <v>260</v>
      </c>
    </row>
    <row r="87" spans="2:13" x14ac:dyDescent="0.25">
      <c r="I87" s="17">
        <v>7</v>
      </c>
      <c r="J87">
        <v>5900</v>
      </c>
      <c r="K87">
        <v>4400</v>
      </c>
      <c r="L87">
        <v>500</v>
      </c>
      <c r="M87">
        <v>295</v>
      </c>
    </row>
    <row r="88" spans="2:13" x14ac:dyDescent="0.25">
      <c r="I88" s="17">
        <v>8</v>
      </c>
      <c r="J88">
        <v>6500</v>
      </c>
      <c r="K88">
        <v>4800</v>
      </c>
      <c r="L88">
        <v>550</v>
      </c>
      <c r="M88">
        <v>325</v>
      </c>
    </row>
    <row r="89" spans="2:13" x14ac:dyDescent="0.25">
      <c r="I89" s="17">
        <v>9</v>
      </c>
      <c r="J89">
        <v>8000</v>
      </c>
      <c r="K89">
        <v>6000</v>
      </c>
      <c r="L89">
        <v>590</v>
      </c>
      <c r="M89">
        <v>400</v>
      </c>
    </row>
    <row r="90" spans="2:13" x14ac:dyDescent="0.25">
      <c r="I90" s="17">
        <v>10</v>
      </c>
      <c r="J90">
        <v>9250</v>
      </c>
      <c r="K90">
        <v>6900</v>
      </c>
      <c r="L90">
        <v>700</v>
      </c>
      <c r="M90">
        <v>475</v>
      </c>
    </row>
    <row r="93" spans="2:13" x14ac:dyDescent="0.25">
      <c r="B93" s="92" t="s">
        <v>126</v>
      </c>
      <c r="C93" s="110" t="s">
        <v>201</v>
      </c>
      <c r="D93" s="110"/>
      <c r="E93" s="110"/>
      <c r="F93" s="110"/>
      <c r="G93" s="110"/>
      <c r="H93" s="110"/>
      <c r="I93" s="110"/>
    </row>
    <row r="94" spans="2:13" x14ac:dyDescent="0.25">
      <c r="B94" s="110"/>
      <c r="C94" s="110" t="s">
        <v>290</v>
      </c>
      <c r="D94" s="110"/>
      <c r="E94" s="110"/>
      <c r="F94" s="110"/>
      <c r="G94" s="110"/>
      <c r="H94" s="110"/>
      <c r="I94" s="110"/>
    </row>
    <row r="95" spans="2:13" ht="15.75" thickBot="1" x14ac:dyDescent="0.3">
      <c r="B95" s="110"/>
      <c r="C95" s="110"/>
      <c r="D95" s="110"/>
      <c r="E95" s="110"/>
      <c r="F95" s="110"/>
      <c r="G95" s="110"/>
      <c r="H95" s="110"/>
      <c r="I95" s="110"/>
    </row>
    <row r="96" spans="2:13" ht="15.75" thickBot="1" x14ac:dyDescent="0.3">
      <c r="B96" s="110"/>
      <c r="C96" s="131" t="s">
        <v>3</v>
      </c>
      <c r="D96" s="132" t="s">
        <v>17</v>
      </c>
      <c r="E96" s="110"/>
      <c r="F96" s="133"/>
      <c r="G96" s="110"/>
      <c r="H96" s="110"/>
      <c r="I96" s="110"/>
    </row>
    <row r="97" spans="2:9" x14ac:dyDescent="0.25">
      <c r="B97" s="110"/>
      <c r="C97" s="126">
        <v>2006</v>
      </c>
      <c r="D97" s="127">
        <v>1075050</v>
      </c>
      <c r="E97" s="110"/>
      <c r="F97" s="110"/>
      <c r="G97" s="110"/>
      <c r="H97" s="110"/>
      <c r="I97" s="110"/>
    </row>
    <row r="98" spans="2:9" x14ac:dyDescent="0.25">
      <c r="B98" s="110"/>
      <c r="C98" s="80">
        <v>2007</v>
      </c>
      <c r="D98" s="84">
        <v>948500</v>
      </c>
      <c r="E98" s="110"/>
      <c r="F98" s="110"/>
      <c r="G98" s="110"/>
      <c r="H98" s="110"/>
      <c r="I98" s="110"/>
    </row>
    <row r="99" spans="2:9" x14ac:dyDescent="0.25">
      <c r="B99" s="110"/>
      <c r="C99" s="80">
        <v>2008</v>
      </c>
      <c r="D99" s="84">
        <v>796845</v>
      </c>
      <c r="E99" s="110"/>
      <c r="F99" s="110"/>
      <c r="G99" s="110"/>
      <c r="H99" s="110"/>
      <c r="I99" s="110"/>
    </row>
    <row r="100" spans="2:9" x14ac:dyDescent="0.25">
      <c r="B100" s="110"/>
      <c r="C100" s="80">
        <v>2009</v>
      </c>
      <c r="D100" s="84">
        <v>856210</v>
      </c>
      <c r="E100" s="110"/>
      <c r="F100" s="110"/>
      <c r="G100" s="110"/>
      <c r="H100" s="110"/>
      <c r="I100" s="110"/>
    </row>
    <row r="101" spans="2:9" x14ac:dyDescent="0.25">
      <c r="B101" s="110"/>
      <c r="C101" s="80">
        <v>2010</v>
      </c>
      <c r="D101" s="84">
        <v>1055600</v>
      </c>
      <c r="E101" s="110"/>
      <c r="F101" s="110"/>
      <c r="G101" s="110"/>
      <c r="H101" s="110"/>
      <c r="I101" s="110"/>
    </row>
    <row r="102" spans="2:9" x14ac:dyDescent="0.25">
      <c r="B102" s="110"/>
      <c r="C102" s="80">
        <v>2011</v>
      </c>
      <c r="D102" s="84">
        <v>1321800</v>
      </c>
      <c r="E102" s="110"/>
      <c r="F102" s="110"/>
      <c r="G102" s="110"/>
      <c r="H102" s="110"/>
      <c r="I102" s="110"/>
    </row>
    <row r="103" spans="2:9" x14ac:dyDescent="0.25">
      <c r="B103" s="110"/>
      <c r="C103" s="134">
        <v>2012</v>
      </c>
      <c r="D103" s="135">
        <v>1216500</v>
      </c>
      <c r="E103" s="110"/>
      <c r="F103" s="110"/>
      <c r="G103" s="110"/>
      <c r="H103" s="110"/>
      <c r="I103" s="110"/>
    </row>
    <row r="104" spans="2:9" x14ac:dyDescent="0.25">
      <c r="B104" s="110"/>
      <c r="C104" s="134">
        <v>2013</v>
      </c>
      <c r="D104" s="135">
        <v>1429500</v>
      </c>
      <c r="E104" s="110"/>
      <c r="F104" s="110"/>
      <c r="G104" s="110"/>
      <c r="H104" s="110"/>
      <c r="I104" s="110"/>
    </row>
    <row r="105" spans="2:9" x14ac:dyDescent="0.25">
      <c r="B105" s="110"/>
      <c r="C105" s="134">
        <v>2014</v>
      </c>
      <c r="D105" s="135">
        <v>1562540</v>
      </c>
      <c r="E105" s="110"/>
      <c r="F105" s="110"/>
      <c r="G105" s="110"/>
      <c r="H105" s="110"/>
      <c r="I105" s="110"/>
    </row>
    <row r="106" spans="2:9" s="110" customFormat="1" x14ac:dyDescent="0.25">
      <c r="C106" s="134">
        <v>2015</v>
      </c>
      <c r="D106" s="135">
        <v>1386540</v>
      </c>
    </row>
    <row r="107" spans="2:9" s="110" customFormat="1" x14ac:dyDescent="0.25">
      <c r="C107" s="134">
        <v>2016</v>
      </c>
      <c r="D107" s="135">
        <v>1486550</v>
      </c>
    </row>
    <row r="108" spans="2:9" s="110" customFormat="1" x14ac:dyDescent="0.25">
      <c r="C108" s="134">
        <v>2017</v>
      </c>
      <c r="D108" s="135">
        <v>1362500</v>
      </c>
    </row>
    <row r="109" spans="2:9" s="110" customFormat="1" x14ac:dyDescent="0.25">
      <c r="C109" s="134">
        <v>2018</v>
      </c>
      <c r="D109" s="135">
        <v>1598650</v>
      </c>
    </row>
    <row r="110" spans="2:9" ht="15.75" thickBot="1" x14ac:dyDescent="0.3">
      <c r="B110" s="110"/>
      <c r="C110" s="81">
        <v>2019</v>
      </c>
      <c r="D110" s="82">
        <f>TREND(D97:D109,C97:C109,C110)</f>
        <v>1649098.4615384638</v>
      </c>
      <c r="E110" s="110"/>
      <c r="F110" s="110"/>
      <c r="G110" s="110"/>
      <c r="H110" s="110"/>
      <c r="I110" s="110"/>
    </row>
    <row r="111" spans="2:9" x14ac:dyDescent="0.25">
      <c r="B111" s="110"/>
      <c r="C111" s="110"/>
      <c r="D111" s="110"/>
      <c r="E111" s="110"/>
      <c r="F111" s="110"/>
      <c r="G111" s="110"/>
      <c r="H111" s="110"/>
      <c r="I111" s="110"/>
    </row>
    <row r="112" spans="2:9" x14ac:dyDescent="0.25">
      <c r="B112" s="92" t="s">
        <v>127</v>
      </c>
      <c r="C112" s="110" t="s">
        <v>256</v>
      </c>
      <c r="D112" s="110"/>
      <c r="E112" s="110"/>
      <c r="F112" s="110"/>
      <c r="G112" s="110"/>
      <c r="H112" s="110"/>
      <c r="I112" s="110"/>
    </row>
    <row r="113" spans="2:9" x14ac:dyDescent="0.25">
      <c r="B113" s="110"/>
      <c r="C113" s="110" t="s">
        <v>291</v>
      </c>
      <c r="D113" s="110"/>
      <c r="E113" s="110"/>
      <c r="F113" s="110"/>
      <c r="G113" s="110"/>
      <c r="H113" s="110"/>
      <c r="I113" s="110"/>
    </row>
    <row r="114" spans="2:9" x14ac:dyDescent="0.25">
      <c r="B114" s="110"/>
      <c r="C114" s="110" t="s">
        <v>265</v>
      </c>
      <c r="D114" s="110"/>
      <c r="E114" s="110"/>
      <c r="F114" s="110"/>
      <c r="G114" s="110"/>
      <c r="H114" s="110"/>
      <c r="I114" s="110"/>
    </row>
    <row r="115" spans="2:9" x14ac:dyDescent="0.25">
      <c r="B115" s="110"/>
      <c r="C115" s="110" t="s">
        <v>266</v>
      </c>
      <c r="D115" s="110"/>
      <c r="E115" s="110"/>
      <c r="F115" s="110"/>
      <c r="G115" s="110"/>
      <c r="H115" s="110"/>
      <c r="I115" s="110"/>
    </row>
    <row r="116" spans="2:9" x14ac:dyDescent="0.25">
      <c r="B116" s="110"/>
      <c r="C116" s="110"/>
      <c r="D116" s="110"/>
      <c r="E116" s="110"/>
      <c r="F116" s="110"/>
      <c r="G116" s="110"/>
      <c r="H116" s="110"/>
      <c r="I116" s="110"/>
    </row>
    <row r="117" spans="2:9" x14ac:dyDescent="0.25">
      <c r="B117" s="110"/>
      <c r="C117" s="110"/>
      <c r="D117" s="110"/>
      <c r="E117" s="110"/>
      <c r="F117" s="110"/>
      <c r="G117" s="110"/>
      <c r="H117" s="110"/>
      <c r="I117" s="110"/>
    </row>
    <row r="118" spans="2:9" x14ac:dyDescent="0.25">
      <c r="B118" s="110"/>
      <c r="C118" s="110"/>
      <c r="D118" s="110"/>
      <c r="E118" s="110"/>
      <c r="F118" s="110"/>
      <c r="G118" s="110"/>
      <c r="H118" s="110"/>
      <c r="I118" s="110"/>
    </row>
    <row r="119" spans="2:9" x14ac:dyDescent="0.25">
      <c r="B119" s="110"/>
      <c r="C119" s="110"/>
      <c r="D119" s="110"/>
      <c r="E119" s="110"/>
      <c r="F119" s="110"/>
      <c r="G119" s="110"/>
      <c r="H119" s="110"/>
      <c r="I119" s="110"/>
    </row>
    <row r="120" spans="2:9" x14ac:dyDescent="0.25">
      <c r="B120" s="110"/>
      <c r="C120" s="110"/>
      <c r="D120" s="110"/>
      <c r="E120" s="110"/>
      <c r="F120" s="110"/>
      <c r="G120" s="110"/>
      <c r="H120" s="110"/>
      <c r="I120" s="110"/>
    </row>
    <row r="121" spans="2:9" x14ac:dyDescent="0.25">
      <c r="B121" s="110"/>
      <c r="C121" s="110"/>
      <c r="D121" s="110"/>
      <c r="E121" s="110"/>
      <c r="F121" s="110"/>
      <c r="G121" s="110"/>
      <c r="H121" s="110"/>
      <c r="I121" s="110"/>
    </row>
    <row r="122" spans="2:9" x14ac:dyDescent="0.25">
      <c r="B122" s="110"/>
      <c r="C122" s="110"/>
      <c r="D122" s="110"/>
      <c r="E122" s="110"/>
      <c r="F122" s="110"/>
      <c r="G122" s="110"/>
      <c r="H122" s="110"/>
      <c r="I122" s="110"/>
    </row>
    <row r="123" spans="2:9" x14ac:dyDescent="0.25">
      <c r="B123" s="110"/>
      <c r="C123" s="110"/>
      <c r="D123" s="110"/>
      <c r="E123" s="110"/>
      <c r="F123" s="110"/>
      <c r="G123" s="110"/>
      <c r="H123" s="110"/>
      <c r="I123" s="110"/>
    </row>
    <row r="124" spans="2:9" x14ac:dyDescent="0.25">
      <c r="B124" s="110"/>
      <c r="C124" s="110"/>
      <c r="D124" s="110"/>
      <c r="E124" s="110"/>
      <c r="F124" s="110"/>
      <c r="G124" s="110"/>
      <c r="H124" s="110"/>
      <c r="I124" s="110"/>
    </row>
    <row r="125" spans="2:9" x14ac:dyDescent="0.25">
      <c r="B125" s="110"/>
      <c r="C125" s="110"/>
      <c r="D125" s="110"/>
      <c r="E125" s="110"/>
      <c r="F125" s="110"/>
      <c r="G125" s="110"/>
      <c r="H125" s="110"/>
      <c r="I125" s="110"/>
    </row>
    <row r="126" spans="2:9" x14ac:dyDescent="0.25">
      <c r="B126" s="110"/>
      <c r="C126" s="110"/>
      <c r="D126" s="110"/>
      <c r="E126" s="110"/>
      <c r="F126" s="110"/>
      <c r="G126" s="110"/>
      <c r="H126" s="110"/>
      <c r="I126" s="110"/>
    </row>
    <row r="127" spans="2:9" x14ac:dyDescent="0.25">
      <c r="B127" s="110"/>
      <c r="C127" s="110"/>
      <c r="D127" s="110"/>
      <c r="E127" s="110"/>
      <c r="F127" s="110"/>
      <c r="G127" s="110"/>
      <c r="H127" s="110"/>
      <c r="I127" s="110"/>
    </row>
    <row r="128" spans="2:9" x14ac:dyDescent="0.25">
      <c r="B128" s="110"/>
      <c r="C128" s="110"/>
      <c r="D128" s="110"/>
      <c r="E128" s="110"/>
      <c r="F128" s="110"/>
      <c r="G128" s="110"/>
      <c r="H128" s="110"/>
      <c r="I128" s="110"/>
    </row>
    <row r="129" spans="2:9" x14ac:dyDescent="0.25">
      <c r="B129" s="110"/>
      <c r="C129" s="110"/>
      <c r="D129" s="110"/>
      <c r="E129" s="110"/>
      <c r="F129" s="110"/>
      <c r="G129" s="110"/>
      <c r="H129" s="110"/>
      <c r="I129" s="110"/>
    </row>
    <row r="130" spans="2:9" x14ac:dyDescent="0.25">
      <c r="B130" s="110"/>
      <c r="C130" s="110"/>
      <c r="D130" s="110"/>
      <c r="E130" s="110"/>
      <c r="F130" s="110"/>
      <c r="G130" s="110"/>
      <c r="H130" s="110"/>
      <c r="I130" s="110"/>
    </row>
    <row r="131" spans="2:9" x14ac:dyDescent="0.25">
      <c r="B131" s="110"/>
      <c r="C131" s="110"/>
      <c r="D131" s="110"/>
      <c r="E131" s="110"/>
      <c r="F131" s="110"/>
      <c r="G131" s="110"/>
      <c r="H131" s="110"/>
      <c r="I131" s="110"/>
    </row>
    <row r="132" spans="2:9" x14ac:dyDescent="0.25">
      <c r="B132" s="110"/>
      <c r="C132" s="110"/>
      <c r="D132" s="110"/>
      <c r="E132" s="110"/>
      <c r="F132" s="110"/>
      <c r="G132" s="110"/>
      <c r="H132" s="110"/>
      <c r="I132" s="110"/>
    </row>
    <row r="133" spans="2:9" x14ac:dyDescent="0.25">
      <c r="B133" s="110"/>
      <c r="C133" s="110"/>
      <c r="D133" s="110"/>
      <c r="E133" s="110"/>
      <c r="F133" s="110"/>
      <c r="G133" s="110"/>
      <c r="H133" s="110"/>
      <c r="I133" s="110"/>
    </row>
    <row r="134" spans="2:9" x14ac:dyDescent="0.25">
      <c r="B134" s="110"/>
      <c r="C134" s="110"/>
      <c r="D134" s="110"/>
      <c r="E134" s="110"/>
      <c r="F134" s="110"/>
      <c r="G134" s="110"/>
      <c r="H134" s="110"/>
      <c r="I134" s="110"/>
    </row>
  </sheetData>
  <mergeCells count="1">
    <mergeCell ref="D34:E34"/>
  </mergeCells>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3:L73"/>
  <sheetViews>
    <sheetView showGridLines="0" zoomScale="145" zoomScaleNormal="145" workbookViewId="0"/>
  </sheetViews>
  <sheetFormatPr defaultColWidth="8.7109375" defaultRowHeight="15" x14ac:dyDescent="0.25"/>
  <cols>
    <col min="1" max="1" width="6.28515625" style="22" customWidth="1"/>
    <col min="2" max="2" width="4" style="21" customWidth="1"/>
    <col min="3" max="3" width="40.85546875" style="21" customWidth="1"/>
    <col min="4" max="6" width="15.140625" style="22" customWidth="1"/>
    <col min="7" max="7" width="4.140625" style="22" customWidth="1"/>
    <col min="8" max="10" width="7.140625" style="22" customWidth="1"/>
    <col min="11" max="16384" width="8.7109375" style="22"/>
  </cols>
  <sheetData>
    <row r="13" spans="9:9" x14ac:dyDescent="0.25">
      <c r="I13" s="22">
        <f>35/6</f>
        <v>5.833333333333333</v>
      </c>
    </row>
    <row r="24" spans="3:6" ht="15.75" thickBot="1" x14ac:dyDescent="0.3"/>
    <row r="25" spans="3:6" ht="19.5" customHeight="1" thickBot="1" x14ac:dyDescent="0.3">
      <c r="C25" s="147" t="s">
        <v>57</v>
      </c>
      <c r="D25" s="148"/>
      <c r="E25" s="148"/>
      <c r="F25" s="148"/>
    </row>
    <row r="26" spans="3:6" ht="16.149999999999999" customHeight="1" x14ac:dyDescent="0.25">
      <c r="C26" s="35" t="s">
        <v>292</v>
      </c>
      <c r="F26" s="100">
        <v>0.13</v>
      </c>
    </row>
    <row r="27" spans="3:6" x14ac:dyDescent="0.25">
      <c r="C27" s="35" t="s">
        <v>56</v>
      </c>
      <c r="F27" s="100">
        <v>4.4999999999999998E-2</v>
      </c>
    </row>
    <row r="28" spans="3:6" x14ac:dyDescent="0.25">
      <c r="C28" s="35" t="s">
        <v>55</v>
      </c>
      <c r="F28" s="100">
        <v>0.08</v>
      </c>
    </row>
    <row r="29" spans="3:6" x14ac:dyDescent="0.25">
      <c r="C29" s="35" t="s">
        <v>293</v>
      </c>
      <c r="F29" s="99">
        <v>0.28000000000000003</v>
      </c>
    </row>
    <row r="30" spans="3:6" x14ac:dyDescent="0.25">
      <c r="C30" s="35" t="s">
        <v>294</v>
      </c>
      <c r="F30" s="98">
        <v>125000</v>
      </c>
    </row>
    <row r="31" spans="3:6" x14ac:dyDescent="0.25">
      <c r="C31" s="35" t="s">
        <v>295</v>
      </c>
      <c r="F31" s="98">
        <v>350000</v>
      </c>
    </row>
    <row r="32" spans="3:6" x14ac:dyDescent="0.25">
      <c r="C32" s="35" t="s">
        <v>296</v>
      </c>
      <c r="F32" s="98">
        <v>75000</v>
      </c>
    </row>
    <row r="33" spans="3:12" ht="7.5" customHeight="1" thickBot="1" x14ac:dyDescent="0.3">
      <c r="C33" s="36"/>
      <c r="D33" s="25"/>
      <c r="E33" s="25"/>
      <c r="F33" s="37"/>
    </row>
    <row r="34" spans="3:12" x14ac:dyDescent="0.25">
      <c r="C34" s="35"/>
      <c r="F34" s="98"/>
    </row>
    <row r="35" spans="3:12" ht="21.75" thickBot="1" x14ac:dyDescent="0.4">
      <c r="C35" s="149" t="s">
        <v>22</v>
      </c>
      <c r="D35" s="149"/>
      <c r="E35" s="149"/>
      <c r="F35" s="149"/>
    </row>
    <row r="36" spans="3:12" ht="19.5" customHeight="1" thickBot="1" x14ac:dyDescent="0.3">
      <c r="C36" s="129"/>
      <c r="D36" s="107">
        <v>2016</v>
      </c>
      <c r="E36" s="107">
        <v>2017</v>
      </c>
      <c r="F36" s="107">
        <v>2018</v>
      </c>
    </row>
    <row r="37" spans="3:12" ht="17.25" customHeight="1" x14ac:dyDescent="0.25">
      <c r="C37" s="31" t="s">
        <v>17</v>
      </c>
      <c r="D37" s="22">
        <v>3500000</v>
      </c>
      <c r="E37" s="22">
        <v>3685000</v>
      </c>
      <c r="F37" s="42">
        <f>E37*(1+F26)</f>
        <v>4164049.9999999995</v>
      </c>
    </row>
    <row r="38" spans="3:12" ht="17.25" x14ac:dyDescent="0.4">
      <c r="C38" s="34" t="s">
        <v>23</v>
      </c>
      <c r="D38" s="83">
        <v>2300000</v>
      </c>
      <c r="E38" s="83">
        <v>2585000</v>
      </c>
      <c r="F38" s="83">
        <f>$F$37*J38*0.95</f>
        <v>2687277.2142857136</v>
      </c>
      <c r="H38" s="47">
        <f>D38/D$37</f>
        <v>0.65714285714285714</v>
      </c>
      <c r="I38" s="47">
        <f>E38/E$37</f>
        <v>0.70149253731343286</v>
      </c>
      <c r="J38" s="49">
        <f>AVERAGE(H38:I38)</f>
        <v>0.67931769722814495</v>
      </c>
      <c r="L38" s="110"/>
    </row>
    <row r="39" spans="3:12" x14ac:dyDescent="0.25">
      <c r="C39" s="32" t="s">
        <v>24</v>
      </c>
      <c r="D39" s="22">
        <f>D37-D38</f>
        <v>1200000</v>
      </c>
      <c r="E39" s="22">
        <f>E37-E38</f>
        <v>1100000</v>
      </c>
      <c r="F39" s="22">
        <f>F37-F38</f>
        <v>1476772.7857142859</v>
      </c>
    </row>
    <row r="40" spans="3:12" x14ac:dyDescent="0.25">
      <c r="C40" s="31" t="s">
        <v>25</v>
      </c>
      <c r="D40" s="22">
        <v>750000</v>
      </c>
      <c r="E40" s="22">
        <v>790000</v>
      </c>
      <c r="F40" s="22">
        <f>$F$37*J40</f>
        <v>892498.2142857142</v>
      </c>
      <c r="G40" s="24"/>
      <c r="H40" s="47">
        <f>D40/D$37</f>
        <v>0.21428571428571427</v>
      </c>
      <c r="I40" s="47">
        <f>E40/E$37</f>
        <v>0.21438263229308005</v>
      </c>
      <c r="J40" s="49">
        <f>AVERAGE(H40:I40)</f>
        <v>0.21433417328939716</v>
      </c>
    </row>
    <row r="41" spans="3:12" x14ac:dyDescent="0.25">
      <c r="C41" s="31" t="s">
        <v>26</v>
      </c>
      <c r="D41" s="22">
        <v>140000</v>
      </c>
      <c r="E41" s="22">
        <v>145000</v>
      </c>
      <c r="F41" s="136">
        <v>150000</v>
      </c>
    </row>
    <row r="42" spans="3:12" ht="17.25" x14ac:dyDescent="0.4">
      <c r="C42" s="34" t="s">
        <v>27</v>
      </c>
      <c r="D42" s="83">
        <v>55000</v>
      </c>
      <c r="E42" s="83">
        <v>52500</v>
      </c>
      <c r="F42" s="83">
        <f>E42+F32</f>
        <v>127500</v>
      </c>
    </row>
    <row r="43" spans="3:12" x14ac:dyDescent="0.25">
      <c r="C43" s="32" t="s">
        <v>28</v>
      </c>
      <c r="D43" s="22">
        <f>D39-D40-D41-D42</f>
        <v>255000</v>
      </c>
      <c r="E43" s="22">
        <f>E39-E40-E41-E42</f>
        <v>112500</v>
      </c>
      <c r="F43" s="22">
        <f>F39-F40-F41-F42</f>
        <v>306774.57142857171</v>
      </c>
    </row>
    <row r="44" spans="3:12" ht="17.25" x14ac:dyDescent="0.4">
      <c r="C44" s="34" t="s">
        <v>29</v>
      </c>
      <c r="D44" s="83">
        <v>25000</v>
      </c>
      <c r="E44" s="83">
        <v>26250</v>
      </c>
      <c r="F44" s="83">
        <f>F27*E61+F28*E64</f>
        <v>15926.924999999999</v>
      </c>
    </row>
    <row r="45" spans="3:12" x14ac:dyDescent="0.25">
      <c r="C45" s="32" t="s">
        <v>30</v>
      </c>
      <c r="D45" s="22">
        <f>D43-D44</f>
        <v>230000</v>
      </c>
      <c r="E45" s="22">
        <f>E43-E44</f>
        <v>86250</v>
      </c>
      <c r="F45" s="22">
        <f>F43-F44</f>
        <v>290847.64642857172</v>
      </c>
    </row>
    <row r="46" spans="3:12" ht="17.25" x14ac:dyDescent="0.4">
      <c r="C46" s="34" t="s">
        <v>31</v>
      </c>
      <c r="D46" s="83">
        <f>D45*0.35</f>
        <v>80500</v>
      </c>
      <c r="E46" s="83">
        <f>E45*0.35</f>
        <v>30187.499999999996</v>
      </c>
      <c r="F46" s="83">
        <f>F45*F29</f>
        <v>81437.341000000088</v>
      </c>
    </row>
    <row r="47" spans="3:12" ht="15.75" thickBot="1" x14ac:dyDescent="0.3">
      <c r="C47" s="33" t="s">
        <v>19</v>
      </c>
      <c r="D47" s="25">
        <f>D45-D46</f>
        <v>149500</v>
      </c>
      <c r="E47" s="25">
        <f>E45-E46</f>
        <v>56062.5</v>
      </c>
      <c r="F47" s="25">
        <f>F45-F46</f>
        <v>209410.30542857165</v>
      </c>
    </row>
    <row r="48" spans="3:12" ht="7.5" customHeight="1" x14ac:dyDescent="0.25">
      <c r="C48" s="102"/>
      <c r="D48" s="110"/>
      <c r="E48" s="110"/>
      <c r="F48" s="110"/>
    </row>
    <row r="49" spans="2:10" ht="21.75" thickBot="1" x14ac:dyDescent="0.4">
      <c r="B49" s="149" t="s">
        <v>32</v>
      </c>
      <c r="C49" s="149"/>
      <c r="D49" s="149"/>
      <c r="E49" s="149"/>
      <c r="F49" s="149"/>
    </row>
    <row r="50" spans="2:10" ht="15.75" thickBot="1" x14ac:dyDescent="0.3">
      <c r="B50" s="138" t="s">
        <v>297</v>
      </c>
      <c r="C50" s="138"/>
      <c r="D50" s="107">
        <v>2016</v>
      </c>
      <c r="E50" s="107">
        <v>2017</v>
      </c>
      <c r="F50" s="107">
        <v>2018</v>
      </c>
    </row>
    <row r="51" spans="2:10" x14ac:dyDescent="0.25">
      <c r="B51" s="27" t="s">
        <v>33</v>
      </c>
      <c r="D51" s="22">
        <v>96500</v>
      </c>
      <c r="E51" s="22">
        <v>106513</v>
      </c>
      <c r="F51" s="136">
        <v>115625</v>
      </c>
    </row>
    <row r="52" spans="2:10" x14ac:dyDescent="0.25">
      <c r="B52" s="27" t="s">
        <v>34</v>
      </c>
      <c r="D52" s="22">
        <f>146000+183150</f>
        <v>329150</v>
      </c>
      <c r="E52" s="22">
        <f>125000+273315</f>
        <v>398315</v>
      </c>
      <c r="F52" s="22">
        <f>$F$37*J52</f>
        <v>420847.55464285705</v>
      </c>
      <c r="H52" s="47">
        <f>D52/D$37</f>
        <v>9.4042857142857136E-2</v>
      </c>
      <c r="I52" s="47">
        <f>E52/E$37</f>
        <v>0.10809090909090908</v>
      </c>
      <c r="J52" s="49">
        <f>AVERAGE(H52:I52)</f>
        <v>0.10106688311688311</v>
      </c>
    </row>
    <row r="53" spans="2:10" ht="17.25" x14ac:dyDescent="0.4">
      <c r="B53" s="27" t="s">
        <v>35</v>
      </c>
      <c r="D53" s="83">
        <v>265000</v>
      </c>
      <c r="E53" s="83">
        <v>280000</v>
      </c>
      <c r="F53" s="83">
        <f>$F$37*J53</f>
        <v>315839.03571428568</v>
      </c>
      <c r="H53" s="47">
        <f>D53/D$37</f>
        <v>7.571428571428572E-2</v>
      </c>
      <c r="I53" s="47">
        <f>E53/E$37</f>
        <v>7.5983717774762552E-2</v>
      </c>
      <c r="J53" s="49">
        <f>AVERAGE(H53:I53)</f>
        <v>7.5849001744524136E-2</v>
      </c>
    </row>
    <row r="54" spans="2:10" x14ac:dyDescent="0.25">
      <c r="B54" s="28" t="s">
        <v>36</v>
      </c>
      <c r="D54" s="22">
        <f>D51+D52+D53</f>
        <v>690650</v>
      </c>
      <c r="E54" s="22">
        <f>E51+E52+E53</f>
        <v>784828</v>
      </c>
      <c r="F54" s="22">
        <f>SUM(F51:F53)</f>
        <v>852311.59035714273</v>
      </c>
    </row>
    <row r="55" spans="2:10" x14ac:dyDescent="0.25">
      <c r="B55" s="27" t="s">
        <v>37</v>
      </c>
      <c r="D55" s="22">
        <v>1050000</v>
      </c>
      <c r="E55" s="22">
        <v>1050000</v>
      </c>
      <c r="F55" s="22">
        <f>E55+F31</f>
        <v>1400000</v>
      </c>
    </row>
    <row r="56" spans="2:10" ht="17.25" x14ac:dyDescent="0.4">
      <c r="B56" s="27" t="s">
        <v>38</v>
      </c>
      <c r="D56" s="83">
        <v>540000</v>
      </c>
      <c r="E56" s="83">
        <f>D56+E42</f>
        <v>592500</v>
      </c>
      <c r="F56" s="83">
        <f>E56+F42</f>
        <v>720000</v>
      </c>
    </row>
    <row r="57" spans="2:10" ht="17.25" x14ac:dyDescent="0.4">
      <c r="B57" s="28" t="s">
        <v>39</v>
      </c>
      <c r="D57" s="83">
        <f>D55-D56</f>
        <v>510000</v>
      </c>
      <c r="E57" s="83">
        <f>E55-E56</f>
        <v>457500</v>
      </c>
      <c r="F57" s="83">
        <f>F55-F56</f>
        <v>680000</v>
      </c>
    </row>
    <row r="58" spans="2:10" ht="15.75" thickBot="1" x14ac:dyDescent="0.3">
      <c r="B58" s="28" t="s">
        <v>40</v>
      </c>
      <c r="D58" s="22">
        <f>D54+D57</f>
        <v>1200650</v>
      </c>
      <c r="E58" s="22">
        <f>E54+E57</f>
        <v>1242328</v>
      </c>
      <c r="F58" s="22">
        <f>F54+F57</f>
        <v>1532311.5903571427</v>
      </c>
    </row>
    <row r="59" spans="2:10" ht="16.149999999999999" customHeight="1" x14ac:dyDescent="0.25">
      <c r="B59" s="26" t="s">
        <v>41</v>
      </c>
      <c r="C59" s="26"/>
      <c r="D59" s="23"/>
      <c r="E59" s="23"/>
      <c r="F59" s="23"/>
    </row>
    <row r="60" spans="2:10" x14ac:dyDescent="0.25">
      <c r="B60" s="27" t="s">
        <v>42</v>
      </c>
      <c r="D60" s="22">
        <v>225000</v>
      </c>
      <c r="E60" s="22">
        <v>232000</v>
      </c>
      <c r="F60" s="22">
        <f>$F$37*J60</f>
        <v>264924.46428571426</v>
      </c>
      <c r="H60" s="47">
        <f>D60/D$37</f>
        <v>6.4285714285714279E-2</v>
      </c>
      <c r="I60" s="47">
        <f>E60/E$37</f>
        <v>6.2957937584803253E-2</v>
      </c>
      <c r="J60" s="49">
        <f>AVERAGE(H60:I60)</f>
        <v>6.3621825935258766E-2</v>
      </c>
    </row>
    <row r="61" spans="2:10" x14ac:dyDescent="0.25">
      <c r="B61" s="27" t="s">
        <v>43</v>
      </c>
      <c r="D61" s="22">
        <v>85650</v>
      </c>
      <c r="E61" s="22">
        <v>87265</v>
      </c>
      <c r="F61" s="136">
        <v>106225</v>
      </c>
    </row>
    <row r="62" spans="2:10" ht="17.25" x14ac:dyDescent="0.4">
      <c r="B62" s="27" t="s">
        <v>44</v>
      </c>
      <c r="D62" s="83">
        <v>45000</v>
      </c>
      <c r="E62" s="83">
        <v>62000</v>
      </c>
      <c r="F62" s="137">
        <v>58000</v>
      </c>
    </row>
    <row r="63" spans="2:10" x14ac:dyDescent="0.25">
      <c r="B63" s="28" t="s">
        <v>45</v>
      </c>
      <c r="D63" s="22">
        <f>D60+D61+D62</f>
        <v>355650</v>
      </c>
      <c r="E63" s="22">
        <f>E60+E61+E62</f>
        <v>381265</v>
      </c>
      <c r="F63" s="22">
        <f>SUM(F60:F62)</f>
        <v>429149.46428571426</v>
      </c>
    </row>
    <row r="64" spans="2:10" ht="17.25" x14ac:dyDescent="0.4">
      <c r="B64" s="27" t="s">
        <v>46</v>
      </c>
      <c r="D64" s="83">
        <v>150000</v>
      </c>
      <c r="E64" s="83">
        <v>150000</v>
      </c>
      <c r="F64" s="137">
        <v>245000</v>
      </c>
    </row>
    <row r="65" spans="2:6" x14ac:dyDescent="0.25">
      <c r="B65" s="28" t="s">
        <v>47</v>
      </c>
      <c r="D65" s="22">
        <f>D63+D64</f>
        <v>505650</v>
      </c>
      <c r="E65" s="22">
        <f>E63+E64</f>
        <v>531265</v>
      </c>
      <c r="F65" s="22">
        <f>F63+F64</f>
        <v>674149.46428571432</v>
      </c>
    </row>
    <row r="66" spans="2:6" x14ac:dyDescent="0.25">
      <c r="B66" s="27" t="s">
        <v>48</v>
      </c>
      <c r="D66" s="22">
        <v>350000</v>
      </c>
      <c r="E66" s="22">
        <v>350000</v>
      </c>
      <c r="F66" s="136">
        <v>350000</v>
      </c>
    </row>
    <row r="67" spans="2:6" ht="17.25" x14ac:dyDescent="0.4">
      <c r="B67" s="27" t="s">
        <v>49</v>
      </c>
      <c r="D67" s="83">
        <v>345000</v>
      </c>
      <c r="E67" s="83">
        <f>D67+E47-40000</f>
        <v>361062.5</v>
      </c>
      <c r="F67" s="83">
        <f>E67+F47-F30</f>
        <v>445472.80542857165</v>
      </c>
    </row>
    <row r="68" spans="2:6" ht="17.25" x14ac:dyDescent="0.4">
      <c r="B68" s="28" t="s">
        <v>50</v>
      </c>
      <c r="D68" s="83">
        <f>D66+D67</f>
        <v>695000</v>
      </c>
      <c r="E68" s="83">
        <f>E66+E67</f>
        <v>711062.5</v>
      </c>
      <c r="F68" s="83">
        <f>F66+F67</f>
        <v>795472.80542857165</v>
      </c>
    </row>
    <row r="69" spans="2:6" ht="15.75" thickBot="1" x14ac:dyDescent="0.3">
      <c r="B69" s="29" t="s">
        <v>51</v>
      </c>
      <c r="C69" s="30"/>
      <c r="D69" s="25">
        <f>D65+D68</f>
        <v>1200650</v>
      </c>
      <c r="E69" s="25">
        <f>E65+E68</f>
        <v>1242327.5</v>
      </c>
      <c r="F69" s="25">
        <f>F65+F68</f>
        <v>1469622.2697142861</v>
      </c>
    </row>
    <row r="70" spans="2:6" ht="6" customHeight="1" x14ac:dyDescent="0.25"/>
    <row r="71" spans="2:6" ht="4.5" customHeight="1" thickBot="1" x14ac:dyDescent="0.3"/>
    <row r="72" spans="2:6" ht="15.75" thickBot="1" x14ac:dyDescent="0.3">
      <c r="C72" s="21" t="s">
        <v>298</v>
      </c>
      <c r="F72" s="20">
        <f>F69-F58</f>
        <v>-62689.320642856648</v>
      </c>
    </row>
    <row r="73" spans="2:6" ht="10.5" customHeight="1" thickBot="1" x14ac:dyDescent="0.3">
      <c r="B73" s="30"/>
      <c r="C73" s="30"/>
      <c r="D73" s="25"/>
      <c r="E73" s="25"/>
      <c r="F73" s="25"/>
    </row>
  </sheetData>
  <mergeCells count="3">
    <mergeCell ref="C25:F25"/>
    <mergeCell ref="C35:F35"/>
    <mergeCell ref="B49:F49"/>
  </mergeCells>
  <pageMargins left="0.7" right="0.7" top="0.75" bottom="0.75" header="0.3" footer="0.3"/>
  <pageSetup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M94"/>
  <sheetViews>
    <sheetView showGridLines="0" workbookViewId="0">
      <selection activeCell="H18" sqref="H18"/>
    </sheetView>
  </sheetViews>
  <sheetFormatPr defaultColWidth="9.140625" defaultRowHeight="15" x14ac:dyDescent="0.25"/>
  <cols>
    <col min="1" max="1" width="3" style="110" customWidth="1"/>
    <col min="2" max="2" width="9.140625" style="110"/>
    <col min="3" max="3" width="3.7109375" style="110" customWidth="1"/>
    <col min="4" max="4" width="3.28515625" style="110" customWidth="1"/>
    <col min="5" max="5" width="72.28515625" style="110" customWidth="1"/>
    <col min="6" max="6" width="11.42578125" style="110" bestFit="1" customWidth="1"/>
    <col min="7" max="7" width="12.140625" style="110" bestFit="1" customWidth="1"/>
    <col min="8" max="11" width="9.140625" style="110"/>
    <col min="12" max="12" width="9.42578125" style="110" bestFit="1" customWidth="1"/>
    <col min="13" max="13" width="11.7109375" style="110" customWidth="1"/>
    <col min="14" max="14" width="10.7109375" style="110" customWidth="1"/>
    <col min="15" max="16384" width="9.140625" style="110"/>
  </cols>
  <sheetData>
    <row r="2" spans="2:13" ht="18.75" x14ac:dyDescent="0.25">
      <c r="B2" s="103"/>
      <c r="E2" s="104" t="s">
        <v>211</v>
      </c>
    </row>
    <row r="3" spans="2:13" x14ac:dyDescent="0.25">
      <c r="B3" s="103"/>
      <c r="E3" s="105" t="s">
        <v>279</v>
      </c>
    </row>
    <row r="4" spans="2:13" x14ac:dyDescent="0.25">
      <c r="B4" s="103"/>
    </row>
    <row r="5" spans="2:13" x14ac:dyDescent="0.25">
      <c r="B5" s="103"/>
      <c r="E5" s="102" t="s">
        <v>124</v>
      </c>
    </row>
    <row r="6" spans="2:13" x14ac:dyDescent="0.25">
      <c r="E6" s="102" t="s">
        <v>125</v>
      </c>
    </row>
    <row r="7" spans="2:13" ht="15.75" thickBot="1" x14ac:dyDescent="0.3"/>
    <row r="8" spans="2:13" ht="15.75" thickBot="1" x14ac:dyDescent="0.3">
      <c r="B8" s="108" t="b">
        <v>1</v>
      </c>
      <c r="C8" s="109" t="s">
        <v>0</v>
      </c>
      <c r="D8" s="109"/>
      <c r="E8" s="150" t="s">
        <v>202</v>
      </c>
      <c r="L8" s="97"/>
      <c r="M8" s="97"/>
    </row>
    <row r="9" spans="2:13" ht="30.6" customHeight="1" x14ac:dyDescent="0.25">
      <c r="E9" s="150"/>
      <c r="L9" s="97"/>
      <c r="M9" s="97"/>
    </row>
    <row r="10" spans="2:13" ht="15.75" thickBot="1" x14ac:dyDescent="0.3">
      <c r="L10" s="97"/>
      <c r="M10" s="97"/>
    </row>
    <row r="11" spans="2:13" ht="18" customHeight="1" thickBot="1" x14ac:dyDescent="0.3">
      <c r="B11" s="108" t="b">
        <v>1</v>
      </c>
      <c r="C11" s="109" t="s">
        <v>1</v>
      </c>
      <c r="D11" s="109"/>
      <c r="E11" s="150" t="s">
        <v>267</v>
      </c>
      <c r="L11" s="97"/>
      <c r="M11" s="97"/>
    </row>
    <row r="12" spans="2:13" ht="18" customHeight="1" x14ac:dyDescent="0.25">
      <c r="E12" s="150"/>
      <c r="L12" s="97"/>
      <c r="M12" s="97"/>
    </row>
    <row r="13" spans="2:13" ht="15.75" thickBot="1" x14ac:dyDescent="0.3">
      <c r="L13" s="97"/>
      <c r="M13" s="97"/>
    </row>
    <row r="14" spans="2:13" ht="18" customHeight="1" thickBot="1" x14ac:dyDescent="0.3">
      <c r="B14" s="108" t="b">
        <v>0</v>
      </c>
      <c r="C14" s="109" t="s">
        <v>6</v>
      </c>
      <c r="D14" s="109"/>
      <c r="E14" s="150" t="s">
        <v>268</v>
      </c>
      <c r="L14" s="97"/>
      <c r="M14" s="97"/>
    </row>
    <row r="15" spans="2:13" x14ac:dyDescent="0.25">
      <c r="E15" s="150"/>
      <c r="L15" s="97"/>
      <c r="M15" s="97"/>
    </row>
    <row r="16" spans="2:13" ht="15.75" thickBot="1" x14ac:dyDescent="0.3">
      <c r="L16" s="97"/>
      <c r="M16" s="97"/>
    </row>
    <row r="17" spans="2:13" ht="15" customHeight="1" thickBot="1" x14ac:dyDescent="0.3">
      <c r="B17" s="108" t="b">
        <v>1</v>
      </c>
      <c r="C17" s="109" t="s">
        <v>7</v>
      </c>
      <c r="D17" s="109"/>
      <c r="E17" s="150" t="s">
        <v>269</v>
      </c>
      <c r="L17" s="97"/>
      <c r="M17" s="97"/>
    </row>
    <row r="18" spans="2:13" ht="25.9" customHeight="1" thickBot="1" x14ac:dyDescent="0.3">
      <c r="E18" s="150"/>
      <c r="L18" s="97"/>
      <c r="M18" s="97"/>
    </row>
    <row r="19" spans="2:13" ht="16.5" customHeight="1" thickBot="1" x14ac:dyDescent="0.3">
      <c r="B19" s="108" t="b">
        <v>1</v>
      </c>
      <c r="C19" s="109" t="s">
        <v>126</v>
      </c>
      <c r="D19" s="109"/>
      <c r="E19" s="150" t="s">
        <v>244</v>
      </c>
    </row>
    <row r="20" spans="2:13" ht="16.5" customHeight="1" x14ac:dyDescent="0.25">
      <c r="E20" s="150"/>
    </row>
    <row r="21" spans="2:13" ht="15.75" thickBot="1" x14ac:dyDescent="0.3"/>
    <row r="22" spans="2:13" ht="15.75" thickBot="1" x14ac:dyDescent="0.3">
      <c r="B22" s="108" t="s">
        <v>250</v>
      </c>
      <c r="C22" s="109" t="s">
        <v>127</v>
      </c>
      <c r="D22" s="109"/>
      <c r="E22" s="150" t="s">
        <v>203</v>
      </c>
    </row>
    <row r="23" spans="2:13" x14ac:dyDescent="0.25">
      <c r="E23" s="150"/>
    </row>
    <row r="24" spans="2:13" x14ac:dyDescent="0.25">
      <c r="D24" s="110" t="s">
        <v>128</v>
      </c>
      <c r="E24" s="110" t="s">
        <v>270</v>
      </c>
    </row>
    <row r="25" spans="2:13" x14ac:dyDescent="0.25">
      <c r="D25" s="110" t="s">
        <v>129</v>
      </c>
      <c r="E25" s="110" t="s">
        <v>204</v>
      </c>
    </row>
    <row r="26" spans="2:13" x14ac:dyDescent="0.25">
      <c r="D26" s="110" t="s">
        <v>130</v>
      </c>
      <c r="E26" s="110" t="s">
        <v>205</v>
      </c>
    </row>
    <row r="27" spans="2:13" x14ac:dyDescent="0.25">
      <c r="D27" s="110" t="s">
        <v>131</v>
      </c>
      <c r="E27" s="110" t="s">
        <v>206</v>
      </c>
    </row>
    <row r="28" spans="2:13" x14ac:dyDescent="0.25">
      <c r="D28" s="110" t="s">
        <v>132</v>
      </c>
      <c r="E28" s="110" t="s">
        <v>133</v>
      </c>
    </row>
    <row r="29" spans="2:13" ht="15.75" thickBot="1" x14ac:dyDescent="0.3"/>
    <row r="30" spans="2:13" ht="18.75" customHeight="1" thickBot="1" x14ac:dyDescent="0.3">
      <c r="B30" s="108" t="b">
        <v>1</v>
      </c>
      <c r="C30" s="109" t="s">
        <v>134</v>
      </c>
      <c r="D30" s="109"/>
      <c r="E30" s="150" t="s">
        <v>271</v>
      </c>
    </row>
    <row r="31" spans="2:13" ht="23.45" customHeight="1" x14ac:dyDescent="0.25">
      <c r="E31" s="150"/>
    </row>
    <row r="32" spans="2:13" ht="15.75" thickBot="1" x14ac:dyDescent="0.3"/>
    <row r="33" spans="2:5" ht="15.75" thickBot="1" x14ac:dyDescent="0.3">
      <c r="B33" s="108" t="s">
        <v>213</v>
      </c>
      <c r="C33" s="109" t="s">
        <v>135</v>
      </c>
      <c r="D33" s="109"/>
      <c r="E33" s="150" t="s">
        <v>249</v>
      </c>
    </row>
    <row r="34" spans="2:5" ht="44.25" customHeight="1" x14ac:dyDescent="0.25">
      <c r="E34" s="150"/>
    </row>
    <row r="35" spans="2:5" x14ac:dyDescent="0.25">
      <c r="D35" s="110" t="s">
        <v>128</v>
      </c>
      <c r="E35" s="110" t="s">
        <v>207</v>
      </c>
    </row>
    <row r="36" spans="2:5" x14ac:dyDescent="0.25">
      <c r="D36" s="110" t="s">
        <v>129</v>
      </c>
      <c r="E36" s="110" t="s">
        <v>208</v>
      </c>
    </row>
    <row r="37" spans="2:5" x14ac:dyDescent="0.25">
      <c r="D37" s="110" t="s">
        <v>130</v>
      </c>
      <c r="E37" s="110" t="s">
        <v>272</v>
      </c>
    </row>
    <row r="38" spans="2:5" x14ac:dyDescent="0.25">
      <c r="D38" s="110" t="s">
        <v>131</v>
      </c>
      <c r="E38" s="110" t="s">
        <v>23</v>
      </c>
    </row>
    <row r="39" spans="2:5" x14ac:dyDescent="0.25">
      <c r="D39" s="110" t="s">
        <v>132</v>
      </c>
      <c r="E39" s="110" t="s">
        <v>209</v>
      </c>
    </row>
    <row r="40" spans="2:5" ht="15.75" thickBot="1" x14ac:dyDescent="0.3"/>
    <row r="41" spans="2:5" ht="20.25" customHeight="1" thickBot="1" x14ac:dyDescent="0.3">
      <c r="B41" s="108" t="b">
        <v>0</v>
      </c>
      <c r="C41" s="109" t="s">
        <v>136</v>
      </c>
      <c r="D41" s="109"/>
      <c r="E41" s="128" t="s">
        <v>248</v>
      </c>
    </row>
    <row r="42" spans="2:5" ht="41.25" customHeight="1" x14ac:dyDescent="0.25">
      <c r="E42" s="128" t="s">
        <v>273</v>
      </c>
    </row>
    <row r="43" spans="2:5" ht="15.75" thickBot="1" x14ac:dyDescent="0.3">
      <c r="E43" s="119"/>
    </row>
    <row r="44" spans="2:5" ht="15.75" thickBot="1" x14ac:dyDescent="0.3">
      <c r="B44" s="108" t="s">
        <v>213</v>
      </c>
      <c r="C44" s="109" t="s">
        <v>137</v>
      </c>
      <c r="E44" s="111" t="s">
        <v>274</v>
      </c>
    </row>
    <row r="45" spans="2:5" x14ac:dyDescent="0.25">
      <c r="E45" s="111"/>
    </row>
    <row r="46" spans="2:5" x14ac:dyDescent="0.25">
      <c r="D46" s="110" t="s">
        <v>128</v>
      </c>
      <c r="E46" s="111" t="s">
        <v>246</v>
      </c>
    </row>
    <row r="47" spans="2:5" x14ac:dyDescent="0.25">
      <c r="D47" s="110" t="s">
        <v>129</v>
      </c>
      <c r="E47" s="119" t="s">
        <v>245</v>
      </c>
    </row>
    <row r="48" spans="2:5" x14ac:dyDescent="0.25">
      <c r="D48" s="110" t="s">
        <v>130</v>
      </c>
      <c r="E48" s="119" t="s">
        <v>233</v>
      </c>
    </row>
    <row r="49" spans="2:5" x14ac:dyDescent="0.25">
      <c r="D49" s="110" t="s">
        <v>131</v>
      </c>
      <c r="E49" s="119" t="s">
        <v>247</v>
      </c>
    </row>
    <row r="50" spans="2:5" x14ac:dyDescent="0.25">
      <c r="D50" s="110" t="s">
        <v>132</v>
      </c>
      <c r="E50" s="119" t="s">
        <v>234</v>
      </c>
    </row>
    <row r="51" spans="2:5" ht="15.75" thickBot="1" x14ac:dyDescent="0.3">
      <c r="E51" s="111"/>
    </row>
    <row r="52" spans="2:5" ht="15.75" thickBot="1" x14ac:dyDescent="0.3">
      <c r="B52" s="108" t="s">
        <v>213</v>
      </c>
      <c r="C52" s="109" t="s">
        <v>235</v>
      </c>
      <c r="E52" s="111" t="s">
        <v>275</v>
      </c>
    </row>
    <row r="53" spans="2:5" x14ac:dyDescent="0.25">
      <c r="E53" s="111"/>
    </row>
    <row r="54" spans="2:5" x14ac:dyDescent="0.25">
      <c r="D54" s="110" t="s">
        <v>128</v>
      </c>
      <c r="E54" s="111" t="s">
        <v>246</v>
      </c>
    </row>
    <row r="55" spans="2:5" x14ac:dyDescent="0.25">
      <c r="D55" s="110" t="s">
        <v>129</v>
      </c>
      <c r="E55" s="111" t="s">
        <v>245</v>
      </c>
    </row>
    <row r="56" spans="2:5" x14ac:dyDescent="0.25">
      <c r="D56" s="110" t="s">
        <v>130</v>
      </c>
      <c r="E56" s="111" t="s">
        <v>233</v>
      </c>
    </row>
    <row r="57" spans="2:5" x14ac:dyDescent="0.25">
      <c r="D57" s="110" t="s">
        <v>131</v>
      </c>
      <c r="E57" s="111" t="s">
        <v>247</v>
      </c>
    </row>
    <row r="58" spans="2:5" x14ac:dyDescent="0.25">
      <c r="D58" s="110" t="s">
        <v>132</v>
      </c>
      <c r="E58" s="111" t="s">
        <v>276</v>
      </c>
    </row>
    <row r="59" spans="2:5" ht="15.75" thickBot="1" x14ac:dyDescent="0.3">
      <c r="E59" s="111"/>
    </row>
    <row r="60" spans="2:5" ht="15.75" thickBot="1" x14ac:dyDescent="0.3">
      <c r="B60" s="108" t="b">
        <v>1</v>
      </c>
      <c r="C60" s="109" t="s">
        <v>236</v>
      </c>
      <c r="D60" s="109"/>
      <c r="E60" s="150" t="s">
        <v>251</v>
      </c>
    </row>
    <row r="61" spans="2:5" ht="18" customHeight="1" x14ac:dyDescent="0.25">
      <c r="E61" s="150"/>
    </row>
    <row r="62" spans="2:5" ht="15.75" thickBot="1" x14ac:dyDescent="0.3">
      <c r="E62" s="111"/>
    </row>
    <row r="63" spans="2:5" ht="15.75" thickBot="1" x14ac:dyDescent="0.3">
      <c r="B63" s="108" t="b">
        <v>1</v>
      </c>
      <c r="C63" s="109" t="s">
        <v>237</v>
      </c>
      <c r="D63" s="109"/>
      <c r="E63" s="150" t="s">
        <v>277</v>
      </c>
    </row>
    <row r="64" spans="2:5" x14ac:dyDescent="0.25">
      <c r="E64" s="150"/>
    </row>
    <row r="65" spans="1:8" ht="15.75" thickBot="1" x14ac:dyDescent="0.3">
      <c r="E65" s="111"/>
    </row>
    <row r="66" spans="1:8" ht="15.75" thickBot="1" x14ac:dyDescent="0.3">
      <c r="B66" s="108" t="b">
        <v>0</v>
      </c>
      <c r="C66" s="109" t="s">
        <v>238</v>
      </c>
      <c r="D66" s="109"/>
      <c r="E66" s="150" t="s">
        <v>278</v>
      </c>
    </row>
    <row r="67" spans="1:8" x14ac:dyDescent="0.25">
      <c r="E67" s="150"/>
    </row>
    <row r="68" spans="1:8" ht="15.75" thickBot="1" x14ac:dyDescent="0.3">
      <c r="E68" s="111"/>
    </row>
    <row r="69" spans="1:8" ht="15.75" thickBot="1" x14ac:dyDescent="0.3">
      <c r="B69" s="108" t="b">
        <v>0</v>
      </c>
      <c r="C69" s="109" t="s">
        <v>239</v>
      </c>
      <c r="D69" s="109"/>
      <c r="E69" s="150" t="s">
        <v>240</v>
      </c>
    </row>
    <row r="70" spans="1:8" x14ac:dyDescent="0.25">
      <c r="E70" s="150"/>
    </row>
    <row r="71" spans="1:8" x14ac:dyDescent="0.25">
      <c r="E71" s="111"/>
    </row>
    <row r="72" spans="1:8" x14ac:dyDescent="0.25">
      <c r="E72" s="111"/>
    </row>
    <row r="73" spans="1:8" x14ac:dyDescent="0.25">
      <c r="E73" s="111"/>
    </row>
    <row r="74" spans="1:8" x14ac:dyDescent="0.25">
      <c r="E74" s="111"/>
    </row>
    <row r="75" spans="1:8" x14ac:dyDescent="0.25">
      <c r="E75" s="111"/>
    </row>
    <row r="76" spans="1:8" x14ac:dyDescent="0.25">
      <c r="E76" s="111"/>
    </row>
    <row r="77" spans="1:8" ht="15.75" thickBot="1" x14ac:dyDescent="0.3"/>
    <row r="78" spans="1:8" ht="15.75" thickBot="1" x14ac:dyDescent="0.3">
      <c r="A78" s="151" t="s">
        <v>138</v>
      </c>
      <c r="B78" s="152"/>
      <c r="C78" s="152"/>
      <c r="D78" s="152"/>
      <c r="E78" s="152"/>
      <c r="F78" s="152"/>
      <c r="G78" s="152"/>
      <c r="H78" s="153"/>
    </row>
    <row r="80" spans="1:8" x14ac:dyDescent="0.25">
      <c r="A80" s="110">
        <v>1</v>
      </c>
      <c r="B80" s="70" t="b">
        <f>B8</f>
        <v>1</v>
      </c>
    </row>
    <row r="81" spans="1:2" x14ac:dyDescent="0.25">
      <c r="A81" s="110">
        <v>2</v>
      </c>
      <c r="B81" s="70" t="b">
        <f>B11</f>
        <v>1</v>
      </c>
    </row>
    <row r="82" spans="1:2" x14ac:dyDescent="0.25">
      <c r="A82" s="110">
        <v>3</v>
      </c>
      <c r="B82" s="70" t="b">
        <f>B14</f>
        <v>0</v>
      </c>
    </row>
    <row r="83" spans="1:2" x14ac:dyDescent="0.25">
      <c r="A83" s="110">
        <v>4</v>
      </c>
      <c r="B83" s="70" t="b">
        <f>B17</f>
        <v>1</v>
      </c>
    </row>
    <row r="84" spans="1:2" ht="15.75" thickBot="1" x14ac:dyDescent="0.3">
      <c r="A84" s="69">
        <v>5</v>
      </c>
      <c r="B84" s="78" t="b">
        <f>B19</f>
        <v>1</v>
      </c>
    </row>
    <row r="85" spans="1:2" x14ac:dyDescent="0.25">
      <c r="A85" s="110">
        <v>6</v>
      </c>
      <c r="B85" s="70" t="str">
        <f>B22</f>
        <v>D</v>
      </c>
    </row>
    <row r="86" spans="1:2" x14ac:dyDescent="0.25">
      <c r="A86" s="110">
        <v>7</v>
      </c>
      <c r="B86" s="70" t="b">
        <f>B30</f>
        <v>1</v>
      </c>
    </row>
    <row r="87" spans="1:2" x14ac:dyDescent="0.25">
      <c r="A87" s="110">
        <v>8</v>
      </c>
      <c r="B87" s="70" t="str">
        <f>B33</f>
        <v>C</v>
      </c>
    </row>
    <row r="88" spans="1:2" x14ac:dyDescent="0.25">
      <c r="A88" s="110">
        <v>9</v>
      </c>
      <c r="B88" s="70" t="b">
        <f>B41</f>
        <v>0</v>
      </c>
    </row>
    <row r="89" spans="1:2" ht="15.75" thickBot="1" x14ac:dyDescent="0.3">
      <c r="A89" s="69">
        <v>10</v>
      </c>
      <c r="B89" s="78" t="str">
        <f>B44</f>
        <v>C</v>
      </c>
    </row>
    <row r="90" spans="1:2" x14ac:dyDescent="0.25">
      <c r="A90" s="110">
        <v>11</v>
      </c>
      <c r="B90" s="70" t="str">
        <f>B52</f>
        <v>C</v>
      </c>
    </row>
    <row r="91" spans="1:2" x14ac:dyDescent="0.25">
      <c r="A91" s="110">
        <v>12</v>
      </c>
      <c r="B91" s="70" t="b">
        <f>B60</f>
        <v>1</v>
      </c>
    </row>
    <row r="92" spans="1:2" x14ac:dyDescent="0.25">
      <c r="A92" s="110">
        <v>13</v>
      </c>
      <c r="B92" s="70" t="b">
        <f>B63</f>
        <v>1</v>
      </c>
    </row>
    <row r="93" spans="1:2" x14ac:dyDescent="0.25">
      <c r="A93" s="110">
        <v>14</v>
      </c>
      <c r="B93" s="70" t="b">
        <f>B66</f>
        <v>0</v>
      </c>
    </row>
    <row r="94" spans="1:2" x14ac:dyDescent="0.25">
      <c r="A94" s="110">
        <v>15</v>
      </c>
      <c r="B94" s="70" t="b">
        <f>B69</f>
        <v>0</v>
      </c>
    </row>
  </sheetData>
  <mergeCells count="13">
    <mergeCell ref="E69:E70"/>
    <mergeCell ref="A78:H78"/>
    <mergeCell ref="E30:E31"/>
    <mergeCell ref="E33:E34"/>
    <mergeCell ref="E60:E61"/>
    <mergeCell ref="E63:E64"/>
    <mergeCell ref="E66:E67"/>
    <mergeCell ref="E22:E23"/>
    <mergeCell ref="E8:E9"/>
    <mergeCell ref="E11:E12"/>
    <mergeCell ref="E14:E15"/>
    <mergeCell ref="E17:E18"/>
    <mergeCell ref="E19:E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INSTRUCTIONS</vt:lpstr>
      <vt:lpstr>P1 - 20 Pts</vt:lpstr>
      <vt:lpstr>P2 - 5 Pts</vt:lpstr>
      <vt:lpstr>P3 - 10 Pts</vt:lpstr>
      <vt:lpstr>P4 10 Pts</vt:lpstr>
      <vt:lpstr>P5 - 20 Pts</vt:lpstr>
      <vt:lpstr>P6 - 15 Pts</vt:lpstr>
      <vt:lpstr>MC-TF 20 Pts</vt:lpstr>
      <vt:lpstr>'P5 - 20 Pts'!OLE_LINK1</vt:lpstr>
      <vt:lpstr>Periods</vt:lpstr>
      <vt:lpstr>'P6 - 15 Pts'!Print_Area</vt:lpstr>
      <vt:lpstr>Rate</vt:lpstr>
      <vt:lpstr>Term</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cp:lastPrinted>2015-10-20T18:19:48Z</cp:lastPrinted>
  <dcterms:created xsi:type="dcterms:W3CDTF">2010-01-13T00:10:02Z</dcterms:created>
  <dcterms:modified xsi:type="dcterms:W3CDTF">2018-10-23T19:10:58Z</dcterms:modified>
</cp:coreProperties>
</file>