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hawley\Desktop\FIN 361 Web\Docs\Exams\Exam2\"/>
    </mc:Choice>
  </mc:AlternateContent>
  <bookViews>
    <workbookView xWindow="9540" yWindow="90" windowWidth="20130" windowHeight="7980" tabRatio="681" firstSheet="1" activeTab="7"/>
  </bookViews>
  <sheets>
    <sheet name="INSTRUCTIONS" sheetId="6" r:id="rId1"/>
    <sheet name="P1 - 25 Pts" sheetId="2" r:id="rId2"/>
    <sheet name="P2 - 5 Pts" sheetId="10" r:id="rId3"/>
    <sheet name="P3 - 8 Pts" sheetId="11" r:id="rId4"/>
    <sheet name="P4 08 Pts" sheetId="14" r:id="rId5"/>
    <sheet name="P5 - 14 Pts" sheetId="1" r:id="rId6"/>
    <sheet name="P6 - 20 Pts" sheetId="5" r:id="rId7"/>
    <sheet name="MC-TF 20 Pts" sheetId="15" r:id="rId8"/>
  </sheets>
  <definedNames>
    <definedName name="OLE_LINK1" localSheetId="5">'P5 - 14 Pts'!$C$65</definedName>
    <definedName name="Periods">'P1 - 25 Pts'!$O$21</definedName>
    <definedName name="_xlnm.Print_Area" localSheetId="6">'P6 - 20 Pts'!$B$25:$J$74</definedName>
    <definedName name="Rate">'P1 - 25 Pts'!$F$23</definedName>
    <definedName name="Term">'P1 - 25 Pts'!$F$22</definedName>
  </definedNames>
  <calcPr calcId="152511" iterate="1" iterateDelta="200"/>
</workbook>
</file>

<file path=xl/calcChain.xml><?xml version="1.0" encoding="utf-8"?>
<calcChain xmlns="http://schemas.openxmlformats.org/spreadsheetml/2006/main">
  <c r="F38" i="5" l="1"/>
  <c r="D104" i="1" l="1"/>
  <c r="E73" i="1"/>
  <c r="E72" i="1"/>
  <c r="D34" i="1"/>
  <c r="H24" i="11"/>
  <c r="H22" i="11"/>
  <c r="H20" i="11"/>
  <c r="B94" i="15" l="1"/>
  <c r="B93" i="15"/>
  <c r="B92" i="15"/>
  <c r="B91" i="15"/>
  <c r="B90" i="15"/>
  <c r="B89" i="15"/>
  <c r="B88" i="15"/>
  <c r="B87" i="15"/>
  <c r="B86" i="15"/>
  <c r="B85" i="15"/>
  <c r="B84" i="15"/>
  <c r="B83" i="15"/>
  <c r="B82" i="15"/>
  <c r="B81" i="15"/>
  <c r="B80" i="15"/>
  <c r="E85" i="1"/>
  <c r="H26" i="11"/>
  <c r="I20" i="14"/>
  <c r="I27" i="14" l="1"/>
  <c r="I28" i="14" l="1"/>
  <c r="I21" i="14" l="1"/>
  <c r="I29" i="14"/>
  <c r="I22" i="14" l="1"/>
  <c r="I30" i="14"/>
  <c r="I23" i="14" s="1"/>
  <c r="E22" i="1" l="1"/>
  <c r="E23" i="1" s="1"/>
  <c r="E24" i="1" s="1"/>
  <c r="E74" i="1" l="1"/>
  <c r="E75" i="1" s="1"/>
  <c r="O19" i="11"/>
  <c r="E76" i="1" l="1"/>
  <c r="E77" i="1" s="1"/>
  <c r="F46" i="1"/>
  <c r="F45" i="1"/>
  <c r="F44" i="1"/>
  <c r="F43" i="1"/>
  <c r="E25" i="1"/>
  <c r="P18" i="11" l="1"/>
  <c r="E57" i="5"/>
  <c r="D57" i="5"/>
  <c r="E54" i="5"/>
  <c r="E68" i="5"/>
  <c r="E63" i="5"/>
  <c r="E65" i="5" s="1"/>
  <c r="D68" i="5"/>
  <c r="D63" i="5"/>
  <c r="D65" i="5" s="1"/>
  <c r="D54" i="5"/>
  <c r="E39" i="5"/>
  <c r="E43" i="5" s="1"/>
  <c r="E45" i="5" s="1"/>
  <c r="E47" i="5" s="1"/>
  <c r="D39" i="5"/>
  <c r="D43" i="5" s="1"/>
  <c r="D45" i="5" s="1"/>
  <c r="D47" i="5" s="1"/>
  <c r="F55" i="5"/>
  <c r="I60" i="5"/>
  <c r="H60" i="5"/>
  <c r="I53" i="5"/>
  <c r="H53" i="5"/>
  <c r="I52" i="5"/>
  <c r="H52" i="5"/>
  <c r="J52" i="5" s="1"/>
  <c r="F44" i="5"/>
  <c r="F42" i="5"/>
  <c r="F56" i="5" s="1"/>
  <c r="I40" i="5"/>
  <c r="H40" i="5"/>
  <c r="I38" i="5"/>
  <c r="H38" i="5"/>
  <c r="F37" i="5"/>
  <c r="G19" i="10"/>
  <c r="D58" i="5" l="1"/>
  <c r="D69" i="5"/>
  <c r="J60" i="5"/>
  <c r="E69" i="5"/>
  <c r="E58" i="5"/>
  <c r="J38" i="5"/>
  <c r="P19" i="11"/>
  <c r="O20" i="11"/>
  <c r="F57" i="5"/>
  <c r="G23" i="10"/>
  <c r="G31" i="10" s="1"/>
  <c r="F60" i="5"/>
  <c r="F63" i="5" s="1"/>
  <c r="F65" i="5" s="1"/>
  <c r="J40" i="5"/>
  <c r="F40" i="5" s="1"/>
  <c r="J53" i="5"/>
  <c r="F53" i="5" s="1"/>
  <c r="F52" i="5"/>
  <c r="G30" i="2"/>
  <c r="O21" i="2"/>
  <c r="F39" i="5" l="1"/>
  <c r="F43" i="5" s="1"/>
  <c r="F45" i="5" s="1"/>
  <c r="O21" i="11"/>
  <c r="O22" i="11" s="1"/>
  <c r="O23" i="11" s="1"/>
  <c r="O24" i="11" s="1"/>
  <c r="O25" i="11" s="1"/>
  <c r="O26" i="11" s="1"/>
  <c r="O27" i="11" s="1"/>
  <c r="O28" i="11" s="1"/>
  <c r="O29" i="11" s="1"/>
  <c r="O30" i="11" s="1"/>
  <c r="O31" i="11" s="1"/>
  <c r="O32" i="11" s="1"/>
  <c r="O33" i="11" s="1"/>
  <c r="O34" i="11" s="1"/>
  <c r="O35" i="11" s="1"/>
  <c r="O36" i="11" s="1"/>
  <c r="O37" i="11" s="1"/>
  <c r="O38" i="11" s="1"/>
  <c r="O39" i="11" s="1"/>
  <c r="O40" i="11" s="1"/>
  <c r="O41" i="11" s="1"/>
  <c r="O42" i="11" s="1"/>
  <c r="O43" i="11" s="1"/>
  <c r="O44" i="11" s="1"/>
  <c r="O45" i="11" s="1"/>
  <c r="O46" i="11" s="1"/>
  <c r="O47" i="11" s="1"/>
  <c r="P20" i="11"/>
  <c r="D31" i="2"/>
  <c r="D35" i="2" s="1"/>
  <c r="H25" i="2"/>
  <c r="F54" i="5"/>
  <c r="F58" i="5" s="1"/>
  <c r="E31" i="2"/>
  <c r="D90" i="2"/>
  <c r="D89" i="2"/>
  <c r="D88" i="2"/>
  <c r="D87" i="2"/>
  <c r="D86" i="2"/>
  <c r="D85" i="2"/>
  <c r="D84" i="2"/>
  <c r="D83" i="2"/>
  <c r="D82" i="2"/>
  <c r="D81" i="2"/>
  <c r="D80" i="2"/>
  <c r="D79" i="2"/>
  <c r="P21" i="11" l="1"/>
  <c r="P22" i="11" s="1"/>
  <c r="P23" i="11" s="1"/>
  <c r="P24" i="11" s="1"/>
  <c r="P25" i="11" s="1"/>
  <c r="P26" i="11" s="1"/>
  <c r="P27" i="11" s="1"/>
  <c r="P28" i="11" s="1"/>
  <c r="P29" i="11" s="1"/>
  <c r="P30" i="11" s="1"/>
  <c r="P31" i="11" s="1"/>
  <c r="P32" i="11" s="1"/>
  <c r="P33" i="11" s="1"/>
  <c r="P34" i="11" s="1"/>
  <c r="P35" i="11" s="1"/>
  <c r="P36" i="11" s="1"/>
  <c r="P37" i="11" s="1"/>
  <c r="P38" i="11" s="1"/>
  <c r="P39" i="11" s="1"/>
  <c r="P40" i="11" s="1"/>
  <c r="P41" i="11" s="1"/>
  <c r="P42" i="11" s="1"/>
  <c r="P43" i="11" s="1"/>
  <c r="P44" i="11" s="1"/>
  <c r="P45" i="11" s="1"/>
  <c r="P46" i="11" s="1"/>
  <c r="P47" i="11" s="1"/>
  <c r="P48" i="11" s="1"/>
  <c r="P49" i="11" s="1"/>
  <c r="P50" i="11" s="1"/>
  <c r="P51" i="11" s="1"/>
  <c r="P52" i="11" s="1"/>
  <c r="P53" i="11" s="1"/>
  <c r="D67" i="2"/>
  <c r="D75" i="2"/>
  <c r="D70" i="2"/>
  <c r="D74" i="2"/>
  <c r="D78" i="2"/>
  <c r="D68" i="2"/>
  <c r="D72" i="2"/>
  <c r="D76" i="2"/>
  <c r="D71" i="2"/>
  <c r="D69" i="2"/>
  <c r="D73" i="2"/>
  <c r="D77" i="2"/>
  <c r="H22" i="2"/>
  <c r="D39" i="2"/>
  <c r="D43" i="2"/>
  <c r="D47" i="2"/>
  <c r="D34" i="2"/>
  <c r="D33" i="2"/>
  <c r="D52" i="2"/>
  <c r="D56" i="2"/>
  <c r="D60" i="2"/>
  <c r="D64" i="2"/>
  <c r="D40" i="2"/>
  <c r="D44" i="2"/>
  <c r="D48" i="2"/>
  <c r="D38" i="2"/>
  <c r="D36" i="2"/>
  <c r="D53" i="2"/>
  <c r="D57" i="2"/>
  <c r="D61" i="2"/>
  <c r="D65" i="2"/>
  <c r="D41" i="2"/>
  <c r="D45" i="2"/>
  <c r="D49" i="2"/>
  <c r="F31" i="2"/>
  <c r="G31" i="2" s="1"/>
  <c r="E32" i="2" s="1"/>
  <c r="D32" i="2"/>
  <c r="D54" i="2"/>
  <c r="D58" i="2"/>
  <c r="D62" i="2"/>
  <c r="D66" i="2"/>
  <c r="D42" i="2"/>
  <c r="D46" i="2"/>
  <c r="D50" i="2"/>
  <c r="D37" i="2"/>
  <c r="D51" i="2"/>
  <c r="D55" i="2"/>
  <c r="D59" i="2"/>
  <c r="D63" i="2"/>
  <c r="F46" i="5"/>
  <c r="F47" i="5" s="1"/>
  <c r="F67" i="5" s="1"/>
  <c r="F68" i="5" s="1"/>
  <c r="F69" i="5" s="1"/>
  <c r="F72" i="5" s="1"/>
  <c r="P54" i="11" l="1"/>
  <c r="P55" i="11" s="1"/>
  <c r="P56" i="11" s="1"/>
  <c r="P57" i="11" s="1"/>
  <c r="P58" i="11" s="1"/>
  <c r="P59" i="11" s="1"/>
  <c r="P60" i="11" s="1"/>
  <c r="P61" i="11" s="1"/>
  <c r="P62" i="11" s="1"/>
  <c r="P63" i="11" s="1"/>
  <c r="P64" i="11" s="1"/>
  <c r="P65" i="11" s="1"/>
  <c r="P66" i="11" s="1"/>
  <c r="P67" i="11" s="1"/>
  <c r="P68" i="11" s="1"/>
  <c r="P69" i="11" s="1"/>
  <c r="P70" i="11" s="1"/>
  <c r="P71" i="11" s="1"/>
  <c r="P72" i="11" s="1"/>
  <c r="P73" i="11" s="1"/>
  <c r="P74" i="11" s="1"/>
  <c r="P75" i="11" s="1"/>
  <c r="P76" i="11" s="1"/>
  <c r="P77" i="11" s="1"/>
  <c r="P78" i="11" s="1"/>
  <c r="P79" i="11" s="1"/>
  <c r="P80" i="11" s="1"/>
  <c r="F32" i="2"/>
  <c r="G32" i="2" s="1"/>
  <c r="E33" i="2" s="1"/>
  <c r="F33" i="2" s="1"/>
  <c r="G33" i="2" s="1"/>
  <c r="E34" i="2" s="1"/>
  <c r="F34" i="2" s="1"/>
  <c r="G34" i="2" s="1"/>
  <c r="E35" i="2" s="1"/>
  <c r="F35" i="2" s="1"/>
  <c r="G35" i="2" s="1"/>
  <c r="E36" i="2" s="1"/>
  <c r="F36" i="2" s="1"/>
  <c r="G36" i="2" s="1"/>
  <c r="E37" i="2" l="1"/>
  <c r="F37" i="2" s="1"/>
  <c r="G37" i="2" s="1"/>
  <c r="E38" i="2" l="1"/>
  <c r="F38" i="2" s="1"/>
  <c r="G38" i="2" s="1"/>
  <c r="E39" i="2" l="1"/>
  <c r="F39" i="2" s="1"/>
  <c r="G39" i="2" s="1"/>
  <c r="E40" i="2" l="1"/>
  <c r="F40" i="2" s="1"/>
  <c r="G40" i="2" s="1"/>
  <c r="E41" i="2" l="1"/>
  <c r="F41" i="2" s="1"/>
  <c r="G41" i="2" s="1"/>
  <c r="E42" i="2" l="1"/>
  <c r="F42" i="2" s="1"/>
  <c r="G42" i="2" s="1"/>
  <c r="E43" i="2" l="1"/>
  <c r="F43" i="2" s="1"/>
  <c r="G43" i="2" s="1"/>
  <c r="E44" i="2" l="1"/>
  <c r="F44" i="2" s="1"/>
  <c r="G44" i="2" s="1"/>
  <c r="E45" i="2" l="1"/>
  <c r="F45" i="2" s="1"/>
  <c r="G45" i="2" s="1"/>
  <c r="E46" i="2" l="1"/>
  <c r="F46" i="2" s="1"/>
  <c r="G46" i="2" s="1"/>
  <c r="E47" i="2" l="1"/>
  <c r="F47" i="2" s="1"/>
  <c r="G47" i="2" s="1"/>
  <c r="E48" i="2" l="1"/>
  <c r="F48" i="2" s="1"/>
  <c r="G48" i="2" s="1"/>
  <c r="E49" i="2" l="1"/>
  <c r="F49" i="2" s="1"/>
  <c r="G49" i="2" s="1"/>
  <c r="E50" i="2" l="1"/>
  <c r="F50" i="2" s="1"/>
  <c r="G50" i="2" s="1"/>
  <c r="E51" i="2" l="1"/>
  <c r="F51" i="2" s="1"/>
  <c r="G51" i="2" s="1"/>
  <c r="E52" i="2" l="1"/>
  <c r="F52" i="2" s="1"/>
  <c r="G52" i="2" s="1"/>
  <c r="E53" i="2" l="1"/>
  <c r="F53" i="2" s="1"/>
  <c r="G53" i="2" s="1"/>
  <c r="E54" i="2" l="1"/>
  <c r="F54" i="2" s="1"/>
  <c r="G54" i="2" s="1"/>
  <c r="E55" i="2" l="1"/>
  <c r="F55" i="2" s="1"/>
  <c r="G55" i="2" s="1"/>
  <c r="E56" i="2" l="1"/>
  <c r="F56" i="2" s="1"/>
  <c r="G56" i="2" s="1"/>
  <c r="E57" i="2" l="1"/>
  <c r="F57" i="2" s="1"/>
  <c r="G57" i="2" s="1"/>
  <c r="E58" i="2" l="1"/>
  <c r="F58" i="2" s="1"/>
  <c r="G58" i="2" s="1"/>
  <c r="E59" i="2" l="1"/>
  <c r="F59" i="2" s="1"/>
  <c r="G59" i="2" s="1"/>
  <c r="E60" i="2" l="1"/>
  <c r="F60" i="2" s="1"/>
  <c r="G60" i="2" s="1"/>
  <c r="E61" i="2" l="1"/>
  <c r="F61" i="2" s="1"/>
  <c r="G61" i="2" s="1"/>
  <c r="E62" i="2" l="1"/>
  <c r="F62" i="2" s="1"/>
  <c r="G62" i="2" s="1"/>
  <c r="E63" i="2" l="1"/>
  <c r="F63" i="2" s="1"/>
  <c r="G63" i="2" s="1"/>
  <c r="E64" i="2" l="1"/>
  <c r="F64" i="2" s="1"/>
  <c r="G64" i="2" s="1"/>
  <c r="E65" i="2" l="1"/>
  <c r="F65" i="2" s="1"/>
  <c r="G65" i="2" s="1"/>
  <c r="E66" i="2" l="1"/>
  <c r="F66" i="2" s="1"/>
  <c r="G66" i="2" s="1"/>
  <c r="E67" i="2" l="1"/>
  <c r="F67" i="2" s="1"/>
  <c r="G67" i="2" s="1"/>
  <c r="E68" i="2" l="1"/>
  <c r="F68" i="2" s="1"/>
  <c r="G68" i="2" s="1"/>
  <c r="E69" i="2" l="1"/>
  <c r="F69" i="2" s="1"/>
  <c r="G69" i="2" s="1"/>
  <c r="E70" i="2" l="1"/>
  <c r="F70" i="2" s="1"/>
  <c r="G70" i="2" s="1"/>
  <c r="E71" i="2" l="1"/>
  <c r="F71" i="2" s="1"/>
  <c r="G71" i="2" s="1"/>
  <c r="E72" i="2" l="1"/>
  <c r="F72" i="2" s="1"/>
  <c r="G72" i="2" s="1"/>
  <c r="E73" i="2" l="1"/>
  <c r="F73" i="2" s="1"/>
  <c r="G73" i="2" s="1"/>
  <c r="E74" i="2" l="1"/>
  <c r="F74" i="2" s="1"/>
  <c r="G74" i="2" s="1"/>
  <c r="E75" i="2" l="1"/>
  <c r="F75" i="2" s="1"/>
  <c r="G75" i="2" s="1"/>
  <c r="E76" i="2" l="1"/>
  <c r="F76" i="2" s="1"/>
  <c r="G76" i="2" s="1"/>
  <c r="E77" i="2" l="1"/>
  <c r="F77" i="2" s="1"/>
  <c r="G77" i="2" s="1"/>
  <c r="E78" i="2" l="1"/>
  <c r="F78" i="2" s="1"/>
  <c r="G78" i="2" s="1"/>
  <c r="E79" i="2" l="1"/>
  <c r="F79" i="2" s="1"/>
  <c r="G79" i="2" s="1"/>
  <c r="E80" i="2" l="1"/>
  <c r="F80" i="2" s="1"/>
  <c r="G80" i="2" s="1"/>
  <c r="E81" i="2" l="1"/>
  <c r="F81" i="2" s="1"/>
  <c r="G81" i="2" s="1"/>
  <c r="E82" i="2" l="1"/>
  <c r="F82" i="2" s="1"/>
  <c r="G82" i="2" s="1"/>
  <c r="E83" i="2" l="1"/>
  <c r="F83" i="2" s="1"/>
  <c r="G83" i="2" s="1"/>
  <c r="E84" i="2" l="1"/>
  <c r="F84" i="2" s="1"/>
  <c r="G84" i="2" s="1"/>
  <c r="E85" i="2" l="1"/>
  <c r="F85" i="2" s="1"/>
  <c r="G85" i="2" s="1"/>
  <c r="E86" i="2" l="1"/>
  <c r="F86" i="2" s="1"/>
  <c r="G86" i="2" s="1"/>
  <c r="E87" i="2" l="1"/>
  <c r="F87" i="2" s="1"/>
  <c r="G87" i="2" s="1"/>
  <c r="E88" i="2" l="1"/>
  <c r="F88" i="2" s="1"/>
  <c r="G88" i="2" s="1"/>
  <c r="E89" i="2" l="1"/>
  <c r="F89" i="2" s="1"/>
  <c r="G89" i="2" s="1"/>
  <c r="E90" i="2" l="1"/>
  <c r="F90" i="2" s="1"/>
  <c r="G90" i="2" s="1"/>
</calcChain>
</file>

<file path=xl/sharedStrings.xml><?xml version="1.0" encoding="utf-8"?>
<sst xmlns="http://schemas.openxmlformats.org/spreadsheetml/2006/main" count="352" uniqueCount="303">
  <si>
    <t>1.</t>
  </si>
  <si>
    <t>2.</t>
  </si>
  <si>
    <t>Consider the following annual cash flows, each to be received at the end of</t>
  </si>
  <si>
    <t>Year</t>
  </si>
  <si>
    <t>Payment</t>
  </si>
  <si>
    <t xml:space="preserve"> &lt;-- Input</t>
  </si>
  <si>
    <t>3.</t>
  </si>
  <si>
    <t>4.</t>
  </si>
  <si>
    <t>Amount of Loan:</t>
  </si>
  <si>
    <t>Annual Interest Rate on Loan:</t>
  </si>
  <si>
    <t>Balloon Payment</t>
  </si>
  <si>
    <t>Payment
Number</t>
  </si>
  <si>
    <t>Interest</t>
  </si>
  <si>
    <t>Principal</t>
  </si>
  <si>
    <t>Balance</t>
  </si>
  <si>
    <t xml:space="preserve"> </t>
  </si>
  <si>
    <t>Annual Interest Rate</t>
  </si>
  <si>
    <t>Sales</t>
  </si>
  <si>
    <t>CGS</t>
  </si>
  <si>
    <t>Net Income</t>
  </si>
  <si>
    <t xml:space="preserve">In the yellow cell below, create ONE formula that will return </t>
  </si>
  <si>
    <t>Input Cell for Year</t>
  </si>
  <si>
    <t>Income Statement</t>
  </si>
  <si>
    <t>Cost of Goods Sold</t>
  </si>
  <si>
    <t>Gross Profit</t>
  </si>
  <si>
    <t>Selling and G&amp;A Expenses</t>
  </si>
  <si>
    <t>Fixed Expenses</t>
  </si>
  <si>
    <t>Depreciation Expense</t>
  </si>
  <si>
    <t>EBIT</t>
  </si>
  <si>
    <t>Interest Expense</t>
  </si>
  <si>
    <t>Earnings Before Taxes</t>
  </si>
  <si>
    <t>Taxes</t>
  </si>
  <si>
    <t>Balance Sheet</t>
  </si>
  <si>
    <t>Assets</t>
  </si>
  <si>
    <t xml:space="preserve">        Cash and Equivalents</t>
  </si>
  <si>
    <t xml:space="preserve">        Accounts Receivable</t>
  </si>
  <si>
    <t xml:space="preserve">        Inventory</t>
  </si>
  <si>
    <t>Total Current Assets</t>
  </si>
  <si>
    <t xml:space="preserve">        Plant &amp; Equipment</t>
  </si>
  <si>
    <t xml:space="preserve">        Accumulated Depreciation</t>
  </si>
  <si>
    <t>Net Fixed Assets</t>
  </si>
  <si>
    <t>Total Assets</t>
  </si>
  <si>
    <t>Liabilities and Owner's Equity</t>
  </si>
  <si>
    <t xml:space="preserve">        Accounts Payable</t>
  </si>
  <si>
    <t xml:space="preserve">        Short-term Notes Payable</t>
  </si>
  <si>
    <t xml:space="preserve">        Other Current Liabilities</t>
  </si>
  <si>
    <t>Total Current Liabilities</t>
  </si>
  <si>
    <t xml:space="preserve">        Long-term Debt</t>
  </si>
  <si>
    <t>Total Liabilities</t>
  </si>
  <si>
    <t xml:space="preserve">        Common Stock</t>
  </si>
  <si>
    <t xml:space="preserve">        Retained Earnings</t>
  </si>
  <si>
    <t>Total Shareholder's Equity</t>
  </si>
  <si>
    <t>Total Liabilities and Owner's Equity</t>
  </si>
  <si>
    <t xml:space="preserve">IMPORTANT: SAVE THIS SPREADSHEET TO THE DESKTOP OF THE </t>
  </si>
  <si>
    <t>VIDEO SURVEILLANCE IS ACTIVE.</t>
  </si>
  <si>
    <t>Points are shown on each tab. Partial credit will be given where possible.</t>
  </si>
  <si>
    <t>Interest Rate on Long Term Debt</t>
  </si>
  <si>
    <t>Interest Rate on Short Term Notes Payable</t>
  </si>
  <si>
    <t>INPUTS</t>
  </si>
  <si>
    <t>RESAVE IT OFTEN WHILE YOU ARE WORKING ON IT.</t>
  </si>
  <si>
    <t>Payment Frequency</t>
  </si>
  <si>
    <t>INPUTS:</t>
  </si>
  <si>
    <t>Loan Amount</t>
  </si>
  <si>
    <t>Term in Years</t>
  </si>
  <si>
    <t>Supplemental Monthly Payment</t>
  </si>
  <si>
    <t xml:space="preserve">  off the loan with the regular and </t>
  </si>
  <si>
    <t>Difference between the total dollar</t>
  </si>
  <si>
    <t xml:space="preserve">  amount of interest paid over this life</t>
  </si>
  <si>
    <t xml:space="preserve">  of the loan with the regular payment</t>
  </si>
  <si>
    <t xml:space="preserve">  and the dollar amount of interest that</t>
  </si>
  <si>
    <t xml:space="preserve">  will be paid over the life of the loan if </t>
  </si>
  <si>
    <t xml:space="preserve">  the regular and supplemental payments</t>
  </si>
  <si>
    <t xml:space="preserve">  are made every month.</t>
  </si>
  <si>
    <t>COMPUTER YOU ARE USING WITH YOUR NAME IN THE FILENAME.</t>
  </si>
  <si>
    <t>When you have completed this exam spreadsheet:</t>
  </si>
  <si>
    <t>Save it one last time to the desktop of your computer.</t>
  </si>
  <si>
    <t>Consider the following cash flow timeline:</t>
  </si>
  <si>
    <t>represented by $X in the timeline, are all identical amounts. In the space below,</t>
  </si>
  <si>
    <t>Annual</t>
  </si>
  <si>
    <t>Quarterly</t>
  </si>
  <si>
    <t>Monthly</t>
  </si>
  <si>
    <t>Term of Loan in Years</t>
  </si>
  <si>
    <t>Number of payments needed to pay</t>
  </si>
  <si>
    <t>Required regular payment on the loan</t>
  </si>
  <si>
    <t>not including the supplemental payment</t>
  </si>
  <si>
    <t xml:space="preserve">   supplemental payments made every month</t>
  </si>
  <si>
    <t xml:space="preserve">create whatever formulas are needed to find the value of $X. There are no inputs so you can </t>
  </si>
  <si>
    <t>Total Interest Paid</t>
  </si>
  <si>
    <t>Effective Annual</t>
  </si>
  <si>
    <t xml:space="preserve">  Interest Rate </t>
  </si>
  <si>
    <t xml:space="preserve">  over life of loan</t>
  </si>
  <si>
    <t>Time</t>
  </si>
  <si>
    <t xml:space="preserve">a year, that represent an investment opportunity. The investment will pay nothing </t>
  </si>
  <si>
    <t>Required Rate of Return</t>
  </si>
  <si>
    <t>In the yellow cell below, create ONE formula that computes the maximum amount you</t>
  </si>
  <si>
    <t>would be willing to pay for the investment given the inputs. All computations must</t>
  </si>
  <si>
    <t>Answer:</t>
  </si>
  <si>
    <t>Total PV at t=0 of known CFs</t>
  </si>
  <si>
    <t>PV at t=0 of unknowns</t>
  </si>
  <si>
    <t>Value of X's</t>
  </si>
  <si>
    <t>Points as marked for each question.</t>
  </si>
  <si>
    <t xml:space="preserve">some other amount in the final year. </t>
  </si>
  <si>
    <t>YOU MAY NOT ACCESS THE INTERNET WHILE COMPLETING THIS EXAM.</t>
  </si>
  <si>
    <t>YOU MAY NOT ACCESS ANY PROGRAM ON YOUR COMPUTER OTHER THAN EXCEL</t>
  </si>
  <si>
    <t>SAVE THIS FILE BACK TO YOUR DESKTOP WITH YOUR NAME IN THE FILENAME.</t>
  </si>
  <si>
    <t>RESAVE IT OFTEN WHILE YOU ARE COMPLETING IT.</t>
  </si>
  <si>
    <t>Close Excel</t>
  </si>
  <si>
    <t>Complete the written portion and give it to your proctor.</t>
  </si>
  <si>
    <t xml:space="preserve">You are planning for your retirement. Your goal is to accumulate enough money in </t>
  </si>
  <si>
    <t>Ignore taxes. Lable your computation steps to enable partial credit. Your formulas should work</t>
  </si>
  <si>
    <t>for any positive value of the input interest rate.</t>
  </si>
  <si>
    <t>Average annual interest rate earned on the account:</t>
  </si>
  <si>
    <t>Computations</t>
  </si>
  <si>
    <t>#1</t>
  </si>
  <si>
    <t>#2</t>
  </si>
  <si>
    <t>#3</t>
  </si>
  <si>
    <t>&lt;-- Answer</t>
  </si>
  <si>
    <t xml:space="preserve">Create the necessary formulas in the yellow cells to compute the effective annual </t>
  </si>
  <si>
    <t>interest rates for the input nominal annual rate given the listed compounding periods.</t>
  </si>
  <si>
    <t>Nominal Annual Interest Rate (Input)</t>
  </si>
  <si>
    <t xml:space="preserve">Compounding
</t>
  </si>
  <si>
    <t>Effective
Annual
Rate</t>
  </si>
  <si>
    <t>Daily</t>
  </si>
  <si>
    <t>Continuous</t>
  </si>
  <si>
    <t>WHILE TAKING THIS EXAM. YOU MAY ACCESS EXCEL'S INTERNAL HELP SYSTEM.</t>
  </si>
  <si>
    <t>The last tab contains multiple choice and true/false questions that count for</t>
  </si>
  <si>
    <t>Tell your proctor that you have finished.</t>
  </si>
  <si>
    <t>-2 Points for each incorrect answer.</t>
  </si>
  <si>
    <t>For True/False questions, enter TRUE or FALSE in the yellow cell.</t>
  </si>
  <si>
    <t>For multiple choice questions, enter the letter of the best reponse in the yellow cell.</t>
  </si>
  <si>
    <t>5.</t>
  </si>
  <si>
    <t>6.</t>
  </si>
  <si>
    <t>A.</t>
  </si>
  <si>
    <t>B.</t>
  </si>
  <si>
    <t>C.</t>
  </si>
  <si>
    <t>D.</t>
  </si>
  <si>
    <t>E.</t>
  </si>
  <si>
    <t>A and C are both correct.</t>
  </si>
  <si>
    <t>7.</t>
  </si>
  <si>
    <t>8.</t>
  </si>
  <si>
    <t>9.</t>
  </si>
  <si>
    <t>10.</t>
  </si>
  <si>
    <t>DO NOT CHANGE ANYTHING BELOW THIS LINE</t>
  </si>
  <si>
    <t>Deposit 1</t>
  </si>
  <si>
    <t>Deposit 2</t>
  </si>
  <si>
    <t>Deposit 3</t>
  </si>
  <si>
    <t>Deposit 4</t>
  </si>
  <si>
    <t>Deposit 5</t>
  </si>
  <si>
    <t>Deposit 6</t>
  </si>
  <si>
    <t>Deposit 7</t>
  </si>
  <si>
    <t>Deposit 8</t>
  </si>
  <si>
    <t>Deposit 9</t>
  </si>
  <si>
    <t>Deposit 10</t>
  </si>
  <si>
    <t>Deposit 11</t>
  </si>
  <si>
    <t>Deposit 12</t>
  </si>
  <si>
    <t>Deposit 13</t>
  </si>
  <si>
    <t>Deposit 14</t>
  </si>
  <si>
    <t>Deposit 15</t>
  </si>
  <si>
    <t>Deposit 16</t>
  </si>
  <si>
    <t>Deposit 17</t>
  </si>
  <si>
    <t>Deposit 18</t>
  </si>
  <si>
    <t>Deposit 19</t>
  </si>
  <si>
    <t>Deposit 20</t>
  </si>
  <si>
    <t>Deposit 21</t>
  </si>
  <si>
    <t>Deposit 22</t>
  </si>
  <si>
    <t>Deposit 23</t>
  </si>
  <si>
    <t>Deposit 24</t>
  </si>
  <si>
    <t>Deposit 25</t>
  </si>
  <si>
    <t>Deposit 26</t>
  </si>
  <si>
    <t>Deposit 27</t>
  </si>
  <si>
    <t>Deposit 28</t>
  </si>
  <si>
    <t>Deposit 29</t>
  </si>
  <si>
    <t>Deposit 30</t>
  </si>
  <si>
    <t>Withdrawal 1</t>
  </si>
  <si>
    <t>Withdrawal 2</t>
  </si>
  <si>
    <t>Withdrawal 3</t>
  </si>
  <si>
    <t>Withdrawal 4</t>
  </si>
  <si>
    <t>Withdrawal 5</t>
  </si>
  <si>
    <t>Withdrawal 6</t>
  </si>
  <si>
    <t>Withdrawal 7</t>
  </si>
  <si>
    <t>Withdrawal 8</t>
  </si>
  <si>
    <t>Withdrawal 9</t>
  </si>
  <si>
    <t>Withdrawal 10</t>
  </si>
  <si>
    <t>Withdrawal 11</t>
  </si>
  <si>
    <t>Withdrawal 12</t>
  </si>
  <si>
    <t>Withdrawal 13</t>
  </si>
  <si>
    <t>Withdrawal 14</t>
  </si>
  <si>
    <t>Withdrawal 15</t>
  </si>
  <si>
    <t>Withdrawal 16</t>
  </si>
  <si>
    <t>Withdrawal 17</t>
  </si>
  <si>
    <t>Withdrawal 18</t>
  </si>
  <si>
    <t>Withdrawal 19</t>
  </si>
  <si>
    <t>Withdrawal 20</t>
  </si>
  <si>
    <t>Cash</t>
  </si>
  <si>
    <t>Flow</t>
  </si>
  <si>
    <t>Account</t>
  </si>
  <si>
    <t>Date</t>
  </si>
  <si>
    <t>Action</t>
  </si>
  <si>
    <t>Do Nothing</t>
  </si>
  <si>
    <t>but the amount is not yet known. That is the amount you must compute.</t>
  </si>
  <si>
    <t>The average annual interest rate you expect to earn on the account is given in the green input cell below.</t>
  </si>
  <si>
    <t>In the space provided, create whatever formulas are needed to compute the dollar amount of the unknown</t>
  </si>
  <si>
    <t>annual deposits that will be needed to meet your goal.</t>
  </si>
  <si>
    <t>Subtract the first payment from #2</t>
  </si>
  <si>
    <t>has the same value today as #3 above</t>
  </si>
  <si>
    <t>Withdrawal 21</t>
  </si>
  <si>
    <t>Withdrawal 22</t>
  </si>
  <si>
    <t>Withdrawal 23</t>
  </si>
  <si>
    <t>Withdrawal 24</t>
  </si>
  <si>
    <t>Withdrawal 25</t>
  </si>
  <si>
    <t>PV at t=0 of CF0</t>
  </si>
  <si>
    <t xml:space="preserve">the NET INCOME from the table at the right for the year </t>
  </si>
  <si>
    <t xml:space="preserve">In the green cell below, create a formula that extrapolates the linear trend from the </t>
  </si>
  <si>
    <t>The expected rate of return on an investment is the rate that makes the present value of the expected cash inflows equal the present value of the expected cash outflows. (True or false?)</t>
  </si>
  <si>
    <t>For all positive discount rates,</t>
  </si>
  <si>
    <t>the discount rate decreases as the risk of an investment increases.</t>
  </si>
  <si>
    <t>as the discount rate increases, the future value of an investment increases.</t>
  </si>
  <si>
    <t>as the discount rate increases, the present value of an investment increases.</t>
  </si>
  <si>
    <t>A and B are both correct.</t>
  </si>
  <si>
    <t>Accounts receivable</t>
  </si>
  <si>
    <t>Account payable</t>
  </si>
  <si>
    <t>Inventory</t>
  </si>
  <si>
    <t>All of the above would typically maintain the same percentage relationship to sales.</t>
  </si>
  <si>
    <t>t</t>
  </si>
  <si>
    <t>According to financial theory, investors who take more risk make higher returns than those who take less risk. (True or false?)</t>
  </si>
  <si>
    <t>Objective Section - 20 Points Possible</t>
  </si>
  <si>
    <t>20 points of the 100 point total for the exam.</t>
  </si>
  <si>
    <t>C</t>
  </si>
  <si>
    <t>The inputs below are for a monthly payment amortizing loan with a maximum term of 5 years:</t>
  </si>
  <si>
    <t>Term of Loan in Years (1 to 5)</t>
  </si>
  <si>
    <t>Payment Number</t>
  </si>
  <si>
    <t>In the space below, create whatever forumlas are necessary to compute the outputs shown below</t>
  </si>
  <si>
    <t xml:space="preserve">for any individual payment within the life of this loan. You can use any calculations that will work, but </t>
  </si>
  <si>
    <t>you cannot create or use an amortization table. Your solution must work for any rational values of the inputs.</t>
  </si>
  <si>
    <t>Label your work so your solution process can be followed for possible partial credit.</t>
  </si>
  <si>
    <t>Required Outputs</t>
  </si>
  <si>
    <t>For the designated individual montly payment, compute these output values:</t>
  </si>
  <si>
    <t>The dollar amount of the monthly payment:</t>
  </si>
  <si>
    <t>The dollar amount of interest charged to this payment:</t>
  </si>
  <si>
    <t>The dollar amount of the principal portion of this payment:</t>
  </si>
  <si>
    <t>The balance of the loan immdiately following this payment:</t>
  </si>
  <si>
    <t>Balance of loan one period before the designated payment:</t>
  </si>
  <si>
    <t>Interest portion of the designated payment:</t>
  </si>
  <si>
    <t>Principal portion of the designated payment:</t>
  </si>
  <si>
    <t>Balance of loan immediately following the designated payment:</t>
  </si>
  <si>
    <t>Amount needed on1/1/2047</t>
  </si>
  <si>
    <t>Amount of each of the 29 regular payments that</t>
  </si>
  <si>
    <r>
      <t xml:space="preserve">be done in that one formula. </t>
    </r>
    <r>
      <rPr>
        <b/>
        <sz val="11"/>
        <color rgb="FFFF0000"/>
        <rFont val="Calibri"/>
        <family val="2"/>
        <scheme val="minor"/>
      </rPr>
      <t xml:space="preserve">DO NOT use the NPV function. </t>
    </r>
    <r>
      <rPr>
        <b/>
        <sz val="11"/>
        <color theme="1" tint="4.9989318521683403E-2"/>
        <rFont val="Calibri"/>
        <family val="2"/>
        <scheme val="minor"/>
      </rPr>
      <t>[ 3 Points ]</t>
    </r>
  </si>
  <si>
    <t>The total present value of all 11 cash flows, including the four missing ones, is $10,000</t>
  </si>
  <si>
    <t xml:space="preserve">if the discount rate is 8% per year compounded annually. The four missing cash flows, </t>
  </si>
  <si>
    <t>There are 8 tabbed pages in this exam spreadsheet including this one.</t>
  </si>
  <si>
    <t>The slope of the security market line (SML) will increase when</t>
  </si>
  <si>
    <t>Expected inflation increases</t>
  </si>
  <si>
    <t>More than one of the above</t>
  </si>
  <si>
    <t>B</t>
  </si>
  <si>
    <t>The height (y-intercept) of the SML will increase for all of the following except</t>
  </si>
  <si>
    <t>More than one of the above is an exception</t>
  </si>
  <si>
    <t>11.</t>
  </si>
  <si>
    <t>12.</t>
  </si>
  <si>
    <t>13.</t>
  </si>
  <si>
    <t>14.</t>
  </si>
  <si>
    <t>15.</t>
  </si>
  <si>
    <t>The "real" rate of interest increases as the risk of an investment increases, other things equal.  (True or false?)</t>
  </si>
  <si>
    <t>The account will have a zero balance after the 30 withdrawals. There will be one payout per year.</t>
  </si>
  <si>
    <t>You plan to make annual deposits into your retirement account on January 1 of every year from 2015</t>
  </si>
  <si>
    <t xml:space="preserve">to 2044 (30 deposits). The first deposit will be $25,000. The remaining 29 deposits will all be equal to each other, </t>
  </si>
  <si>
    <t>Withdrawal 26</t>
  </si>
  <si>
    <t>Withdrawal 27</t>
  </si>
  <si>
    <t>Withdrawal 28</t>
  </si>
  <si>
    <t>Withdrawal 29</t>
  </si>
  <si>
    <t>Withdrawal 30</t>
  </si>
  <si>
    <t>PV of above on 01/01/2015</t>
  </si>
  <si>
    <t xml:space="preserve">for the first four years, but then will pay an equal amount each year for 5 years, and then </t>
  </si>
  <si>
    <t>Your formulas should work for any reasonable value of the input. [3 Points]</t>
  </si>
  <si>
    <t>$X</t>
  </si>
  <si>
    <t>PV at t=0 of CF1-2</t>
  </si>
  <si>
    <t>PV at t=0 of CF7-10</t>
  </si>
  <si>
    <t>Value of unknowns at t=2</t>
  </si>
  <si>
    <t>hard-code the numbers in the formulas but the formulas must be shown. [4 Points ]</t>
  </si>
  <si>
    <t>given in the input cell. [2 Points]</t>
  </si>
  <si>
    <t>8 years of sales and uses it to estimate 2014 sales. [2 Points]</t>
  </si>
  <si>
    <t>Percent Change in Sales from 2013</t>
  </si>
  <si>
    <t>Tax Rate for 2014</t>
  </si>
  <si>
    <t>Common Stock Dividend for 2014</t>
  </si>
  <si>
    <t>Expected addition to Plant and Equipment in 2014</t>
  </si>
  <si>
    <t>Additional depreciation on new Plant/Equip in 2014</t>
  </si>
  <si>
    <t>Excess/(Deficit) Financing for 2014</t>
  </si>
  <si>
    <t>A series of identical cash flows that are expected to occur at equal time periods for a specified number of periods is a perpetuity.  (True or false?)</t>
  </si>
  <si>
    <t>The present value of a current deposit decreases as the expected rate of inflation increases, other things equal.  (True or False?)</t>
  </si>
  <si>
    <t>The beta (β) coefficient is a measure of a stock's undiversifiable risk when it is held in a large portfolio of stocks. (True or false?)</t>
  </si>
  <si>
    <t>In a world with no risk and no inflation, rational investors would require the risk-free rate of interest to lend their money to someone else for a period of time.  (True or False?)</t>
  </si>
  <si>
    <t>A borrower would always prefer a longer compounding period for interest than a shorter compounding period, other things equal.  (True or false?)</t>
  </si>
  <si>
    <t>For any positive interest rate, decreasing the compounding frequency will increase the future value of an investment.  (True or false?)</t>
  </si>
  <si>
    <t>The real rate of interest decreases</t>
  </si>
  <si>
    <t>Investor risk aversion increases</t>
  </si>
  <si>
    <t>The risk premium on the market portfolio decreases</t>
  </si>
  <si>
    <t>A</t>
  </si>
  <si>
    <t xml:space="preserve">The effective annual interest rate on a loan will equal the "nominal" or "stated" </t>
  </si>
  <si>
    <t>When projecting pro-forma income statements and balance sheets using the percent of sales method, which of the following are typically not assumed to maintain the same percentage relationship to sales over time?</t>
  </si>
  <si>
    <t>D</t>
  </si>
  <si>
    <t>your retirement account to pay out $200,000 per year for 30 years starting on January 1, 2048.</t>
  </si>
  <si>
    <t>rate on the loan only if the interest on the loan is compounded annually.. (True or false?)</t>
  </si>
  <si>
    <t>Any stock that is less sensitive than average to changes in general economic conditions will have a beta coefficient less than one.  (True or false?)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</si>
</sst>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00%"/>
    <numFmt numFmtId="166" formatCode="0.0%"/>
    <numFmt numFmtId="167" formatCode="_(&quot;$&quot;* #,##0.0_);_(&quot;$&quot;* \(#,##0.0\);_(&quot;$&quot;* &quot;-&quot;?_);_(@_)"/>
  </numFmts>
  <fonts count="1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u val="singleAccounting"/>
      <sz val="11"/>
      <color theme="1"/>
      <name val="Calibri"/>
      <family val="2"/>
      <scheme val="minor"/>
    </font>
    <font>
      <b/>
      <u val="singleAccounting"/>
      <sz val="11"/>
      <color theme="1"/>
      <name val="Calibri"/>
      <family val="2"/>
      <scheme val="minor"/>
    </font>
    <font>
      <b/>
      <sz val="16"/>
      <color theme="1"/>
      <name val="Calibri"/>
      <family val="2"/>
      <scheme val="minor"/>
    </font>
    <font>
      <b/>
      <i/>
      <sz val="11"/>
      <name val="Times New Roman"/>
      <family val="1"/>
    </font>
    <font>
      <b/>
      <sz val="11"/>
      <name val="Times New Roman"/>
      <family val="1"/>
    </font>
    <font>
      <b/>
      <u val="singleAccounting"/>
      <sz val="11"/>
      <name val="Times New Roman"/>
      <family val="1"/>
    </font>
    <font>
      <b/>
      <sz val="14"/>
      <color rgb="FFFF0000"/>
      <name val="Calibri"/>
      <family val="2"/>
      <scheme val="minor"/>
    </font>
    <font>
      <b/>
      <sz val="11"/>
      <color rgb="FFFF0000"/>
      <name val="Calibri"/>
      <family val="2"/>
      <scheme val="minor"/>
    </font>
    <font>
      <b/>
      <i/>
      <sz val="11"/>
      <color theme="1"/>
      <name val="Calibri"/>
      <family val="2"/>
      <scheme val="minor"/>
    </font>
    <font>
      <b/>
      <sz val="12"/>
      <color rgb="FFFF0000"/>
      <name val="Calibri"/>
      <family val="2"/>
      <scheme val="minor"/>
    </font>
    <font>
      <b/>
      <sz val="11"/>
      <color theme="1" tint="4.9989318521683403E-2"/>
      <name val="Calibri"/>
      <family val="2"/>
      <scheme val="minor"/>
    </font>
    <font>
      <b/>
      <sz val="14"/>
      <color theme="1"/>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bgColor indexed="64"/>
      </patternFill>
    </fill>
    <fill>
      <patternFill patternType="solid">
        <fgColor rgb="FF99FF99"/>
        <bgColor indexed="64"/>
      </patternFill>
    </fill>
    <fill>
      <patternFill patternType="solid">
        <fgColor rgb="FFEAEAEA"/>
        <bgColor indexed="64"/>
      </patternFill>
    </fill>
    <fill>
      <patternFill patternType="solid">
        <fgColor rgb="FF92D050"/>
        <bgColor indexed="64"/>
      </patternFill>
    </fill>
    <fill>
      <patternFill patternType="solid">
        <fgColor rgb="FF00B0F0"/>
        <bgColor indexed="64"/>
      </patternFill>
    </fill>
    <fill>
      <patternFill patternType="solid">
        <fgColor theme="2" tint="-0.249977111117893"/>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4">
    <xf numFmtId="0" fontId="0" fillId="0" borderId="0" xfId="0"/>
    <xf numFmtId="0" fontId="4" fillId="0" borderId="0" xfId="0" applyFont="1"/>
    <xf numFmtId="6" fontId="2" fillId="0" borderId="0" xfId="0" applyNumberFormat="1" applyFont="1"/>
    <xf numFmtId="10" fontId="2" fillId="0" borderId="0" xfId="0" applyNumberFormat="1" applyFont="1"/>
    <xf numFmtId="8" fontId="0" fillId="0" borderId="0" xfId="0" applyNumberFormat="1"/>
    <xf numFmtId="44" fontId="0" fillId="2" borderId="1" xfId="2" applyFont="1" applyFill="1" applyBorder="1"/>
    <xf numFmtId="0" fontId="0" fillId="0" borderId="0" xfId="0" applyAlignment="1">
      <alignment horizontal="left" indent="3"/>
    </xf>
    <xf numFmtId="0" fontId="3" fillId="0" borderId="0" xfId="0" applyFont="1" applyAlignment="1">
      <alignment horizontal="left" indent="3"/>
    </xf>
    <xf numFmtId="0" fontId="0" fillId="0" borderId="8" xfId="0" applyBorder="1"/>
    <xf numFmtId="0" fontId="3" fillId="3" borderId="2" xfId="0" applyFont="1" applyFill="1" applyBorder="1" applyAlignment="1">
      <alignment horizontal="center" wrapText="1"/>
    </xf>
    <xf numFmtId="0" fontId="3" fillId="3" borderId="10" xfId="0" applyFont="1" applyFill="1" applyBorder="1" applyAlignment="1">
      <alignment horizontal="center" vertical="center"/>
    </xf>
    <xf numFmtId="0" fontId="3" fillId="3" borderId="3" xfId="0" applyFont="1" applyFill="1" applyBorder="1" applyAlignment="1">
      <alignment horizontal="center" vertical="center"/>
    </xf>
    <xf numFmtId="0" fontId="0" fillId="0" borderId="0" xfId="0" applyAlignment="1">
      <alignment horizontal="center"/>
    </xf>
    <xf numFmtId="43" fontId="0" fillId="0" borderId="0" xfId="1" applyFont="1"/>
    <xf numFmtId="8" fontId="0" fillId="0" borderId="0" xfId="1" applyNumberFormat="1" applyFont="1"/>
    <xf numFmtId="0" fontId="0" fillId="0" borderId="0" xfId="0" applyBorder="1"/>
    <xf numFmtId="0" fontId="3" fillId="0" borderId="0" xfId="0" applyFont="1"/>
    <xf numFmtId="0" fontId="3" fillId="0" borderId="0" xfId="0" applyFont="1" applyAlignment="1">
      <alignment horizontal="center"/>
    </xf>
    <xf numFmtId="44" fontId="6" fillId="0" borderId="0" xfId="0" applyNumberFormat="1" applyFont="1" applyAlignment="1">
      <alignment horizontal="center"/>
    </xf>
    <xf numFmtId="0" fontId="2" fillId="0" borderId="1" xfId="0" applyFont="1" applyBorder="1" applyAlignment="1">
      <alignment horizontal="center"/>
    </xf>
    <xf numFmtId="164" fontId="0" fillId="2" borderId="1" xfId="2" applyNumberFormat="1" applyFont="1" applyFill="1" applyBorder="1"/>
    <xf numFmtId="41" fontId="3" fillId="0" borderId="0" xfId="0" applyNumberFormat="1" applyFont="1"/>
    <xf numFmtId="41" fontId="0" fillId="0" borderId="0" xfId="0" applyNumberFormat="1"/>
    <xf numFmtId="41" fontId="8" fillId="6" borderId="13" xfId="0" quotePrefix="1" applyNumberFormat="1" applyFont="1" applyFill="1" applyBorder="1" applyAlignment="1">
      <alignment horizontal="center"/>
    </xf>
    <xf numFmtId="41" fontId="5" fillId="0" borderId="0" xfId="0" applyNumberFormat="1" applyFont="1"/>
    <xf numFmtId="165" fontId="0" fillId="0" borderId="0" xfId="3" applyNumberFormat="1" applyFont="1"/>
    <xf numFmtId="41" fontId="0" fillId="0" borderId="8" xfId="0" applyNumberFormat="1" applyBorder="1"/>
    <xf numFmtId="41" fontId="8" fillId="6" borderId="13" xfId="0" applyNumberFormat="1" applyFont="1" applyFill="1" applyBorder="1"/>
    <xf numFmtId="41" fontId="9" fillId="0" borderId="0" xfId="0" applyNumberFormat="1" applyFont="1"/>
    <xf numFmtId="41" fontId="8" fillId="0" borderId="0" xfId="0" applyNumberFormat="1" applyFont="1"/>
    <xf numFmtId="41" fontId="8" fillId="0" borderId="8" xfId="0" applyNumberFormat="1" applyFont="1" applyBorder="1"/>
    <xf numFmtId="41" fontId="3" fillId="0" borderId="8" xfId="0" applyNumberFormat="1" applyFont="1" applyBorder="1"/>
    <xf numFmtId="41" fontId="8" fillId="6" borderId="14" xfId="0" quotePrefix="1" applyNumberFormat="1" applyFont="1" applyFill="1" applyBorder="1" applyAlignment="1">
      <alignment horizontal="center" vertical="center"/>
    </xf>
    <xf numFmtId="44" fontId="9" fillId="0" borderId="0" xfId="0" applyNumberFormat="1" applyFont="1" applyAlignment="1">
      <alignment horizontal="left" indent="1"/>
    </xf>
    <xf numFmtId="44" fontId="8" fillId="0" borderId="0" xfId="0" applyNumberFormat="1" applyFont="1"/>
    <xf numFmtId="44" fontId="8" fillId="0" borderId="8" xfId="0" applyNumberFormat="1" applyFont="1" applyBorder="1"/>
    <xf numFmtId="44" fontId="10" fillId="0" borderId="0" xfId="0" applyNumberFormat="1" applyFont="1" applyAlignment="1">
      <alignment horizontal="left" indent="1"/>
    </xf>
    <xf numFmtId="6" fontId="12" fillId="0" borderId="0" xfId="0" applyNumberFormat="1" applyFont="1"/>
    <xf numFmtId="41" fontId="3" fillId="0" borderId="0" xfId="0" applyNumberFormat="1" applyFont="1" applyAlignment="1">
      <alignment horizontal="left" indent="5"/>
    </xf>
    <xf numFmtId="41" fontId="3" fillId="0" borderId="8" xfId="0" applyNumberFormat="1" applyFont="1" applyBorder="1" applyAlignment="1">
      <alignment horizontal="left" indent="5"/>
    </xf>
    <xf numFmtId="6" fontId="12" fillId="0" borderId="8" xfId="0" applyNumberFormat="1" applyFont="1" applyBorder="1"/>
    <xf numFmtId="0" fontId="0" fillId="0" borderId="0" xfId="0" applyAlignment="1">
      <alignment horizontal="left" indent="3"/>
    </xf>
    <xf numFmtId="0" fontId="0" fillId="0" borderId="8" xfId="0" applyBorder="1" applyAlignment="1">
      <alignment horizontal="left" indent="3"/>
    </xf>
    <xf numFmtId="0" fontId="0" fillId="0" borderId="0" xfId="0" quotePrefix="1"/>
    <xf numFmtId="0" fontId="2" fillId="0" borderId="0" xfId="0" applyNumberFormat="1" applyFont="1"/>
    <xf numFmtId="41" fontId="0" fillId="0" borderId="0" xfId="0" applyNumberFormat="1" applyFont="1"/>
    <xf numFmtId="164" fontId="0" fillId="0" borderId="0" xfId="0" applyNumberFormat="1"/>
    <xf numFmtId="164" fontId="2" fillId="0" borderId="0" xfId="0" applyNumberFormat="1" applyFont="1"/>
    <xf numFmtId="0" fontId="2" fillId="0" borderId="0" xfId="0" applyNumberFormat="1" applyFont="1" applyAlignment="1">
      <alignment horizontal="center"/>
    </xf>
    <xf numFmtId="8" fontId="0" fillId="0" borderId="0" xfId="2" applyNumberFormat="1" applyFont="1"/>
    <xf numFmtId="10" fontId="0" fillId="0" borderId="0" xfId="3" applyNumberFormat="1" applyFont="1"/>
    <xf numFmtId="8" fontId="0" fillId="2" borderId="1" xfId="0" applyNumberFormat="1" applyFill="1" applyBorder="1"/>
    <xf numFmtId="10" fontId="0" fillId="0" borderId="0" xfId="0" applyNumberFormat="1"/>
    <xf numFmtId="165" fontId="0" fillId="2" borderId="1" xfId="3" applyNumberFormat="1" applyFont="1" applyFill="1" applyBorder="1"/>
    <xf numFmtId="10" fontId="2" fillId="0" borderId="0" xfId="3" applyNumberFormat="1" applyFont="1"/>
    <xf numFmtId="0" fontId="0" fillId="0" borderId="0" xfId="0"/>
    <xf numFmtId="8" fontId="0" fillId="0" borderId="0" xfId="0" applyNumberFormat="1"/>
    <xf numFmtId="0" fontId="0" fillId="0" borderId="8" xfId="0" applyBorder="1"/>
    <xf numFmtId="0" fontId="0" fillId="0" borderId="0" xfId="0" quotePrefix="1"/>
    <xf numFmtId="10" fontId="0" fillId="7" borderId="1" xfId="0" applyNumberFormat="1" applyFill="1" applyBorder="1"/>
    <xf numFmtId="0" fontId="0" fillId="0" borderId="0" xfId="0"/>
    <xf numFmtId="0" fontId="0" fillId="0" borderId="0" xfId="0"/>
    <xf numFmtId="0" fontId="0" fillId="0" borderId="9" xfId="0"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0" fillId="0" borderId="4" xfId="0" applyBorder="1" applyAlignment="1">
      <alignment horizontal="center"/>
    </xf>
    <xf numFmtId="164" fontId="2" fillId="0" borderId="1" xfId="2" applyNumberFormat="1" applyFont="1" applyBorder="1" applyAlignment="1">
      <alignment horizontal="center"/>
    </xf>
    <xf numFmtId="0" fontId="0" fillId="0" borderId="5" xfId="0" applyBorder="1" applyAlignment="1">
      <alignment horizontal="center"/>
    </xf>
    <xf numFmtId="164" fontId="1" fillId="0" borderId="6" xfId="2" applyNumberFormat="1" applyFont="1" applyBorder="1" applyAlignment="1">
      <alignment horizontal="center"/>
    </xf>
    <xf numFmtId="0" fontId="0" fillId="0" borderId="15" xfId="0" applyBorder="1" applyAlignment="1">
      <alignment horizontal="center"/>
    </xf>
    <xf numFmtId="0" fontId="0" fillId="0" borderId="0" xfId="0"/>
    <xf numFmtId="0" fontId="0" fillId="0" borderId="0" xfId="0"/>
    <xf numFmtId="0" fontId="0" fillId="0" borderId="8" xfId="0" applyBorder="1"/>
    <xf numFmtId="0" fontId="0" fillId="0" borderId="0" xfId="0" applyAlignment="1">
      <alignment horizontal="center"/>
    </xf>
    <xf numFmtId="0" fontId="0" fillId="0" borderId="0" xfId="0" quotePrefix="1"/>
    <xf numFmtId="165" fontId="0" fillId="2" borderId="1" xfId="3" applyNumberFormat="1" applyFont="1" applyFill="1" applyBorder="1"/>
    <xf numFmtId="0" fontId="0" fillId="0" borderId="0" xfId="0" applyFill="1" applyBorder="1"/>
    <xf numFmtId="0" fontId="0" fillId="0" borderId="0" xfId="0" applyFill="1" applyBorder="1" applyAlignment="1">
      <alignment horizontal="left" indent="2"/>
    </xf>
    <xf numFmtId="10" fontId="2" fillId="0" borderId="1" xfId="0" applyNumberFormat="1" applyFont="1" applyBorder="1"/>
    <xf numFmtId="165" fontId="0" fillId="2" borderId="16" xfId="3" applyNumberFormat="1" applyFont="1" applyFill="1" applyBorder="1"/>
    <xf numFmtId="0" fontId="3" fillId="0" borderId="14" xfId="0" applyFont="1" applyBorder="1" applyAlignment="1">
      <alignment horizontal="center" wrapText="1"/>
    </xf>
    <xf numFmtId="0" fontId="0" fillId="0" borderId="8" xfId="0" applyBorder="1" applyAlignment="1">
      <alignment horizontal="center"/>
    </xf>
    <xf numFmtId="0" fontId="0" fillId="0" borderId="0" xfId="0" quotePrefix="1"/>
    <xf numFmtId="0" fontId="0" fillId="0" borderId="0" xfId="0"/>
    <xf numFmtId="0" fontId="13" fillId="0" borderId="0" xfId="0" applyFont="1"/>
    <xf numFmtId="0" fontId="13" fillId="0" borderId="0" xfId="0" applyFont="1"/>
    <xf numFmtId="0" fontId="3" fillId="4" borderId="5" xfId="0" applyFont="1" applyFill="1" applyBorder="1" applyAlignment="1">
      <alignment horizontal="center"/>
    </xf>
    <xf numFmtId="0" fontId="3" fillId="4" borderId="9" xfId="0" applyFont="1" applyFill="1" applyBorder="1" applyAlignment="1">
      <alignment horizontal="center"/>
    </xf>
    <xf numFmtId="164" fontId="0" fillId="5" borderId="7" xfId="2" applyNumberFormat="1" applyFont="1" applyFill="1" applyBorder="1"/>
    <xf numFmtId="41" fontId="5" fillId="0" borderId="0" xfId="0" applyNumberFormat="1" applyFont="1"/>
    <xf numFmtId="164" fontId="0" fillId="4" borderId="6" xfId="2" applyNumberFormat="1" applyFont="1" applyFill="1" applyBorder="1"/>
    <xf numFmtId="0" fontId="0" fillId="0" borderId="0" xfId="0"/>
    <xf numFmtId="0" fontId="11" fillId="0" borderId="0" xfId="0" applyFont="1"/>
    <xf numFmtId="0" fontId="14" fillId="0" borderId="0" xfId="0" applyFont="1"/>
    <xf numFmtId="0" fontId="0" fillId="0" borderId="0" xfId="0"/>
    <xf numFmtId="0" fontId="3" fillId="0" borderId="0" xfId="0" applyFont="1" applyAlignment="1">
      <alignment horizontal="center"/>
    </xf>
    <xf numFmtId="14" fontId="0" fillId="0" borderId="0" xfId="0" applyNumberFormat="1"/>
    <xf numFmtId="0" fontId="0" fillId="0" borderId="0" xfId="0" applyAlignment="1">
      <alignment horizontal="left" indent="1"/>
    </xf>
    <xf numFmtId="43" fontId="0" fillId="2" borderId="1" xfId="1" applyFont="1" applyFill="1" applyBorder="1"/>
    <xf numFmtId="0" fontId="0" fillId="0" borderId="0" xfId="0"/>
    <xf numFmtId="8" fontId="0" fillId="0" borderId="0" xfId="0" applyNumberFormat="1"/>
    <xf numFmtId="0" fontId="0" fillId="0" borderId="0" xfId="0"/>
    <xf numFmtId="0" fontId="0" fillId="0" borderId="0" xfId="0" quotePrefix="1"/>
    <xf numFmtId="164" fontId="2" fillId="0" borderId="1" xfId="2" applyNumberFormat="1" applyFont="1" applyBorder="1" applyAlignment="1">
      <alignment horizontal="center"/>
    </xf>
    <xf numFmtId="164" fontId="1" fillId="0" borderId="6" xfId="2" applyNumberFormat="1" applyFont="1" applyBorder="1" applyAlignment="1">
      <alignment horizontal="center"/>
    </xf>
    <xf numFmtId="0" fontId="0" fillId="0" borderId="0" xfId="0"/>
    <xf numFmtId="8" fontId="0" fillId="0" borderId="0" xfId="0" applyNumberFormat="1"/>
    <xf numFmtId="8" fontId="0" fillId="0" borderId="0" xfId="0" applyNumberFormat="1"/>
    <xf numFmtId="6" fontId="12" fillId="0" borderId="0" xfId="0" applyNumberFormat="1" applyFont="1"/>
    <xf numFmtId="166" fontId="12" fillId="0" borderId="0" xfId="0" applyNumberFormat="1" applyFont="1"/>
    <xf numFmtId="165" fontId="12" fillId="0" borderId="0" xfId="0" applyNumberFormat="1" applyFont="1"/>
    <xf numFmtId="0" fontId="0" fillId="0" borderId="0" xfId="0"/>
    <xf numFmtId="0" fontId="3" fillId="0" borderId="0" xfId="0" applyFont="1"/>
    <xf numFmtId="0" fontId="3" fillId="0" borderId="0" xfId="0" applyFont="1" applyAlignment="1">
      <alignment horizontal="center"/>
    </xf>
    <xf numFmtId="0" fontId="16" fillId="0" borderId="0" xfId="0" applyFont="1" applyAlignment="1">
      <alignment horizontal="center" vertical="center"/>
    </xf>
    <xf numFmtId="0" fontId="3" fillId="0" borderId="0" xfId="0" quotePrefix="1" applyFont="1" applyAlignment="1">
      <alignment horizontal="center"/>
    </xf>
    <xf numFmtId="0" fontId="0" fillId="0" borderId="0" xfId="0"/>
    <xf numFmtId="0" fontId="8" fillId="6" borderId="14" xfId="0" quotePrefix="1" applyNumberFormat="1" applyFont="1" applyFill="1" applyBorder="1" applyAlignment="1">
      <alignment horizontal="center" vertical="center"/>
    </xf>
    <xf numFmtId="0" fontId="3" fillId="2" borderId="1" xfId="0" applyFont="1" applyFill="1" applyBorder="1" applyAlignment="1">
      <alignment horizontal="center"/>
    </xf>
    <xf numFmtId="0" fontId="0" fillId="0" borderId="0" xfId="0" quotePrefix="1" applyAlignment="1">
      <alignment horizontal="right" vertical="center"/>
    </xf>
    <xf numFmtId="0" fontId="0" fillId="0" borderId="0" xfId="0"/>
    <xf numFmtId="0" fontId="0" fillId="0" borderId="0" xfId="0" applyAlignment="1">
      <alignment horizontal="left" vertical="top" wrapText="1"/>
    </xf>
    <xf numFmtId="164" fontId="12" fillId="0" borderId="17" xfId="2" applyNumberFormat="1" applyFont="1" applyBorder="1"/>
    <xf numFmtId="0" fontId="12" fillId="0" borderId="17" xfId="0" applyFont="1" applyBorder="1"/>
    <xf numFmtId="10" fontId="12" fillId="0" borderId="17" xfId="0" applyNumberFormat="1" applyFont="1" applyBorder="1"/>
    <xf numFmtId="164" fontId="12" fillId="0" borderId="0" xfId="2" applyNumberFormat="1" applyFont="1" applyBorder="1"/>
    <xf numFmtId="0" fontId="12" fillId="7" borderId="17" xfId="0" applyFont="1" applyFill="1" applyBorder="1"/>
    <xf numFmtId="0" fontId="3" fillId="0" borderId="0" xfId="0" applyFont="1" applyAlignment="1">
      <alignment horizontal="left"/>
    </xf>
    <xf numFmtId="0" fontId="3" fillId="0" borderId="0" xfId="0" applyFont="1" applyAlignment="1">
      <alignment horizontal="left" indent="2"/>
    </xf>
    <xf numFmtId="0" fontId="0" fillId="0" borderId="0" xfId="0" applyAlignment="1">
      <alignment horizontal="left" vertical="top" wrapText="1"/>
    </xf>
    <xf numFmtId="44" fontId="0" fillId="0" borderId="0" xfId="0" applyNumberFormat="1"/>
    <xf numFmtId="0" fontId="0" fillId="0" borderId="18" xfId="0" applyBorder="1" applyAlignment="1">
      <alignment horizontal="center"/>
    </xf>
    <xf numFmtId="164" fontId="1" fillId="0" borderId="19" xfId="2" applyNumberFormat="1" applyFont="1" applyBorder="1" applyAlignment="1">
      <alignment horizontal="center"/>
    </xf>
    <xf numFmtId="164" fontId="1" fillId="0" borderId="7" xfId="2" applyNumberFormat="1" applyFont="1" applyBorder="1" applyAlignment="1">
      <alignment horizontal="center"/>
    </xf>
    <xf numFmtId="164" fontId="0" fillId="0" borderId="6" xfId="2" applyNumberFormat="1" applyFont="1" applyBorder="1" applyAlignment="1">
      <alignment horizontal="center"/>
    </xf>
    <xf numFmtId="167" fontId="0" fillId="0" borderId="0" xfId="0" applyNumberFormat="1"/>
    <xf numFmtId="0" fontId="3" fillId="4" borderId="20" xfId="0" applyFont="1" applyFill="1" applyBorder="1" applyAlignment="1">
      <alignment horizontal="center"/>
    </xf>
    <xf numFmtId="0" fontId="3" fillId="4" borderId="21" xfId="0" applyFont="1" applyFill="1" applyBorder="1" applyAlignment="1">
      <alignment horizontal="center"/>
    </xf>
    <xf numFmtId="0" fontId="3" fillId="4" borderId="22" xfId="0" applyFont="1" applyFill="1" applyBorder="1" applyAlignment="1">
      <alignment horizontal="center"/>
    </xf>
    <xf numFmtId="164" fontId="0" fillId="4" borderId="19" xfId="2" applyNumberFormat="1" applyFont="1" applyFill="1" applyBorder="1"/>
    <xf numFmtId="0" fontId="0" fillId="0" borderId="0" xfId="0" applyAlignment="1">
      <alignment vertical="top" wrapText="1"/>
    </xf>
    <xf numFmtId="41" fontId="0" fillId="9" borderId="0" xfId="0" applyNumberFormat="1" applyFill="1"/>
    <xf numFmtId="41" fontId="5" fillId="9" borderId="0" xfId="0" applyNumberFormat="1" applyFont="1" applyFill="1"/>
    <xf numFmtId="0" fontId="3" fillId="2" borderId="14" xfId="0" applyFont="1" applyFill="1" applyBorder="1" applyAlignment="1">
      <alignment horizontal="center"/>
    </xf>
    <xf numFmtId="0" fontId="3" fillId="2" borderId="14" xfId="0" applyFont="1" applyFill="1" applyBorder="1" applyAlignment="1">
      <alignment horizontal="center" vertical="center"/>
    </xf>
    <xf numFmtId="8" fontId="0" fillId="2" borderId="11" xfId="2" applyNumberFormat="1" applyFont="1" applyFill="1" applyBorder="1"/>
    <xf numFmtId="44" fontId="0" fillId="2" borderId="12" xfId="2" applyFont="1" applyFill="1" applyBorder="1"/>
    <xf numFmtId="41" fontId="7" fillId="0" borderId="8" xfId="0" applyNumberFormat="1" applyFont="1" applyBorder="1" applyAlignment="1">
      <alignment horizontal="center"/>
    </xf>
    <xf numFmtId="41" fontId="8" fillId="6" borderId="14" xfId="0" applyNumberFormat="1" applyFont="1" applyFill="1" applyBorder="1" applyAlignment="1">
      <alignment horizontal="center" vertical="center"/>
    </xf>
    <xf numFmtId="41" fontId="8" fillId="6" borderId="14" xfId="0" quotePrefix="1" applyNumberFormat="1" applyFont="1" applyFill="1" applyBorder="1" applyAlignment="1">
      <alignment horizontal="center" vertical="center"/>
    </xf>
    <xf numFmtId="0" fontId="0" fillId="0" borderId="0" xfId="0" applyAlignment="1">
      <alignment horizontal="left" vertical="top" wrapText="1"/>
    </xf>
    <xf numFmtId="0" fontId="3" fillId="8" borderId="11" xfId="0" applyFont="1" applyFill="1" applyBorder="1" applyAlignment="1">
      <alignment horizontal="center" vertical="center"/>
    </xf>
    <xf numFmtId="0" fontId="3" fillId="8" borderId="14" xfId="0" applyFont="1" applyFill="1" applyBorder="1" applyAlignment="1">
      <alignment horizontal="center" vertical="center"/>
    </xf>
    <xf numFmtId="0" fontId="3" fillId="8" borderId="12" xfId="0" applyFont="1" applyFill="1" applyBorder="1" applyAlignment="1">
      <alignment horizontal="center" vertical="center"/>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5523</xdr:colOff>
      <xdr:row>0</xdr:row>
      <xdr:rowOff>104912</xdr:rowOff>
    </xdr:from>
    <xdr:to>
      <xdr:col>10</xdr:col>
      <xdr:colOff>281610</xdr:colOff>
      <xdr:row>16</xdr:row>
      <xdr:rowOff>182217</xdr:rowOff>
    </xdr:to>
    <xdr:sp macro="" textlink="">
      <xdr:nvSpPr>
        <xdr:cNvPr id="2" name="TextBox 1"/>
        <xdr:cNvSpPr txBox="1"/>
      </xdr:nvSpPr>
      <xdr:spPr>
        <a:xfrm>
          <a:off x="204306" y="104912"/>
          <a:ext cx="7454347" cy="299278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t>INSTRUCTIONS:</a:t>
          </a:r>
        </a:p>
        <a:p>
          <a:endParaRPr lang="en-US" sz="1100"/>
        </a:p>
        <a:p>
          <a:r>
            <a:rPr lang="en-US" sz="1100"/>
            <a:t>Use the space</a:t>
          </a:r>
          <a:r>
            <a:rPr lang="en-US" sz="1100" baseline="0"/>
            <a:t> beginning in Row 29 to create an amoritzation table model that will work for ANY ALLOWABLE values of the inputs. User-changeable inputs are in red. Create restrictions on the input cells that prevent users from entering values that are not allowed.</a:t>
          </a:r>
        </a:p>
        <a:p>
          <a:endParaRPr lang="en-US" sz="1100" baseline="0"/>
        </a:p>
        <a:p>
          <a:r>
            <a:rPr lang="en-US" sz="1100" baseline="0"/>
            <a:t>The amount of the loan must be a positive number.</a:t>
          </a:r>
        </a:p>
        <a:p>
          <a:r>
            <a:rPr lang="en-US" sz="1100" baseline="0"/>
            <a:t>The balloon payment must be a positive number or zero and must be less than the amount of the loan. </a:t>
          </a:r>
        </a:p>
        <a:p>
          <a:r>
            <a:rPr lang="en-US" sz="1100" baseline="0"/>
            <a:t>The term of the loan can be 1, 2, 3, 4, or 5 years.</a:t>
          </a:r>
        </a:p>
        <a:p>
          <a:r>
            <a:rPr lang="en-US" sz="1100" baseline="0"/>
            <a:t>The interest rate can be between 2% and 15%.</a:t>
          </a:r>
        </a:p>
        <a:p>
          <a:r>
            <a:rPr lang="en-US" sz="1100" baseline="0"/>
            <a:t>The payment frequency can be annual, quarterly, or monthly. Use a drop-down list in Cell F25 with "Annual", "Quarterly" and "Monthly" as the choices. Use the results from that cell to set the payment frequency for computation in the table.</a:t>
          </a:r>
        </a:p>
        <a:p>
          <a:endParaRPr lang="en-US" sz="1100" baseline="0"/>
        </a:p>
        <a:p>
          <a:r>
            <a:rPr lang="en-US" sz="1100" baseline="0"/>
            <a:t>Each row in your table should show the monthly payment, the interest portion of that payment, the principal portion of that payment, and the balance immediately following that payment for all payments within the term of the loan. Rows in the table that are beyond the term of the loan should show nothing (be blank) except for the payment number. All values in the table should be positive numbers or zero.</a:t>
          </a:r>
        </a:p>
        <a:p>
          <a:endParaRPr lang="en-US" sz="1100" baseline="0"/>
        </a:p>
        <a:p>
          <a:r>
            <a:rPr lang="en-US" sz="1100" baseline="0"/>
            <a:t>In cell H22, create a formula that computes the total dollar amount of interest that will be paid over the life of the loan. given the inputs.</a:t>
          </a:r>
        </a:p>
        <a:p>
          <a:endParaRPr lang="en-US" sz="1100" baseline="0"/>
        </a:p>
        <a:p>
          <a:r>
            <a:rPr lang="en-US" sz="1100" baseline="0"/>
            <a:t>In cell H25, create a formula that computes the effective annual interest rate for the loan given the inputs. </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1</xdr:row>
      <xdr:rowOff>12700</xdr:rowOff>
    </xdr:from>
    <xdr:to>
      <xdr:col>5</xdr:col>
      <xdr:colOff>596900</xdr:colOff>
      <xdr:row>15</xdr:row>
      <xdr:rowOff>152400</xdr:rowOff>
    </xdr:to>
    <xdr:sp macro="" textlink="">
      <xdr:nvSpPr>
        <xdr:cNvPr id="2" name="TextBox 1"/>
        <xdr:cNvSpPr txBox="1"/>
      </xdr:nvSpPr>
      <xdr:spPr>
        <a:xfrm>
          <a:off x="381000" y="196850"/>
          <a:ext cx="5054600" cy="2717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t>Instructions:</a:t>
          </a:r>
        </a:p>
        <a:p>
          <a:endParaRPr lang="en-US" sz="1100"/>
        </a:p>
        <a:p>
          <a:r>
            <a:rPr lang="en-US" sz="1100"/>
            <a:t>The inputs below represent</a:t>
          </a:r>
          <a:r>
            <a:rPr lang="en-US" sz="1100" baseline="0"/>
            <a:t> a loan with monthly payments. The loan will have a required monthly payment, but the borrower can pay more than the required payment. The input for the supplemental monthly payment is the additional amount that will be paid each month that the loan is in effect. </a:t>
          </a:r>
        </a:p>
        <a:p>
          <a:endParaRPr lang="en-US" sz="1100" baseline="0"/>
        </a:p>
        <a:p>
          <a:r>
            <a:rPr lang="en-US" sz="1100" baseline="0"/>
            <a:t>Create a formula that computes the number of payments that will be needed to pay off the loan if the same supplemental monthly payment is made throughout the life of the loan.</a:t>
          </a:r>
        </a:p>
        <a:p>
          <a:endParaRPr lang="en-US" sz="1100"/>
        </a:p>
        <a:p>
          <a:r>
            <a:rPr lang="en-US" sz="1100"/>
            <a:t>Also create whatever formulas are necessary to compute</a:t>
          </a:r>
          <a:r>
            <a:rPr lang="en-US" sz="1100" baseline="0"/>
            <a:t> the difference between the total dollar amount of interest that would have been paid on the loan if only the required payments were made and the total dollar amount of interest that will be paid if the supplemental monthly payment is made every month.</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81280</xdr:colOff>
      <xdr:row>29</xdr:row>
      <xdr:rowOff>58420</xdr:rowOff>
    </xdr:from>
    <xdr:to>
      <xdr:col>9</xdr:col>
      <xdr:colOff>87630</xdr:colOff>
      <xdr:row>35</xdr:row>
      <xdr:rowOff>77470</xdr:rowOff>
    </xdr:to>
    <xdr:sp macro="" textlink="">
      <xdr:nvSpPr>
        <xdr:cNvPr id="2" name="Rounded Rectangle 1"/>
        <xdr:cNvSpPr/>
      </xdr:nvSpPr>
      <xdr:spPr>
        <a:xfrm>
          <a:off x="1605280" y="5369560"/>
          <a:ext cx="4174490" cy="111633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400" b="1"/>
            <a:t>The proof</a:t>
          </a:r>
          <a:r>
            <a:rPr lang="en-US" sz="2400" b="1" baseline="0"/>
            <a:t> that this solution is correct is to the right.</a:t>
          </a:r>
        </a:p>
        <a:p>
          <a:pPr algn="l"/>
          <a:endParaRPr lang="en-US" sz="24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73270</xdr:colOff>
      <xdr:row>2</xdr:row>
      <xdr:rowOff>161192</xdr:rowOff>
    </xdr:from>
    <xdr:to>
      <xdr:col>11</xdr:col>
      <xdr:colOff>19050</xdr:colOff>
      <xdr:row>9</xdr:row>
      <xdr:rowOff>124558</xdr:rowOff>
    </xdr:to>
    <xdr:sp macro="" textlink="">
      <xdr:nvSpPr>
        <xdr:cNvPr id="2" name="Line Callout 1 1"/>
        <xdr:cNvSpPr/>
      </xdr:nvSpPr>
      <xdr:spPr>
        <a:xfrm>
          <a:off x="4483345" y="542192"/>
          <a:ext cx="2917580" cy="1296866"/>
        </a:xfrm>
        <a:prstGeom prst="borderCallout1">
          <a:avLst>
            <a:gd name="adj1" fmla="val 18750"/>
            <a:gd name="adj2" fmla="val -8333"/>
            <a:gd name="adj3" fmla="val 75979"/>
            <a:gd name="adj4" fmla="val -30617"/>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r>
            <a:rPr lang="en-US" sz="1100" b="1">
              <a:solidFill>
                <a:schemeClr val="lt1"/>
              </a:solidFill>
              <a:effectLst/>
              <a:latin typeface="+mn-lt"/>
              <a:ea typeface="+mn-ea"/>
              <a:cs typeface="+mn-cs"/>
            </a:rPr>
            <a:t>Enter the number of the payment for which you want to compute the</a:t>
          </a:r>
          <a:r>
            <a:rPr lang="en-US" sz="1100" b="1" baseline="0">
              <a:solidFill>
                <a:schemeClr val="lt1"/>
              </a:solidFill>
              <a:effectLst/>
              <a:latin typeface="+mn-lt"/>
              <a:ea typeface="+mn-ea"/>
              <a:cs typeface="+mn-cs"/>
            </a:rPr>
            <a:t> required outputs. For example, the 14th montly payment would be entered as 14. You can enter any number between 1 and 60. Your output must work for any allowable input</a:t>
          </a:r>
          <a:endParaRPr lang="en-US">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41412</xdr:colOff>
      <xdr:row>2</xdr:row>
      <xdr:rowOff>104913</xdr:rowOff>
    </xdr:from>
    <xdr:to>
      <xdr:col>7</xdr:col>
      <xdr:colOff>731630</xdr:colOff>
      <xdr:row>7</xdr:row>
      <xdr:rowOff>179457</xdr:rowOff>
    </xdr:to>
    <xdr:sp macro="" textlink="">
      <xdr:nvSpPr>
        <xdr:cNvPr id="2" name="Round Same Side Corner Rectangle 1"/>
        <xdr:cNvSpPr/>
      </xdr:nvSpPr>
      <xdr:spPr>
        <a:xfrm>
          <a:off x="289890" y="585304"/>
          <a:ext cx="4964044" cy="1565414"/>
        </a:xfrm>
        <a:prstGeom prst="round2SameRect">
          <a:avLst/>
        </a:prstGeom>
      </xdr:spPr>
      <xdr:style>
        <a:lnRef idx="0">
          <a:schemeClr val="accent6"/>
        </a:lnRef>
        <a:fillRef idx="3">
          <a:schemeClr val="accent6"/>
        </a:fillRef>
        <a:effectRef idx="3">
          <a:schemeClr val="accent6"/>
        </a:effectRef>
        <a:fontRef idx="minor">
          <a:schemeClr val="lt1"/>
        </a:fontRef>
      </xdr:style>
      <xdr:txBody>
        <a:bodyPr vertOverflow="clip" rtlCol="0" anchor="ctr"/>
        <a:lstStyle/>
        <a:p>
          <a:pPr algn="ctr"/>
          <a:r>
            <a:rPr lang="en-US" sz="1400" b="1"/>
            <a:t>NOTE: There</a:t>
          </a:r>
          <a:r>
            <a:rPr lang="en-US" sz="1400" b="1" baseline="0"/>
            <a:t> may be and probably are many ways to solve these problems. Any way that produces the correct answer, within any constraints stated with the problem, is acceptable. The sign of the answer does not matter as long as the number value of the answer is correct. </a:t>
          </a:r>
          <a:endParaRPr lang="en-US" sz="1400" b="1"/>
        </a:p>
      </xdr:txBody>
    </xdr:sp>
    <xdr:clientData/>
  </xdr:twoCellAnchor>
  <xdr:twoCellAnchor editAs="oneCell">
    <xdr:from>
      <xdr:col>7</xdr:col>
      <xdr:colOff>467140</xdr:colOff>
      <xdr:row>41</xdr:row>
      <xdr:rowOff>377689</xdr:rowOff>
    </xdr:from>
    <xdr:to>
      <xdr:col>16</xdr:col>
      <xdr:colOff>452893</xdr:colOff>
      <xdr:row>47</xdr:row>
      <xdr:rowOff>93098</xdr:rowOff>
    </xdr:to>
    <xdr:pic>
      <xdr:nvPicPr>
        <xdr:cNvPr id="75" name="Picture 7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55097" y="8892211"/>
          <a:ext cx="7034253" cy="12642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228599</xdr:colOff>
      <xdr:row>0</xdr:row>
      <xdr:rowOff>180974</xdr:rowOff>
    </xdr:from>
    <xdr:to>
      <xdr:col>7</xdr:col>
      <xdr:colOff>0</xdr:colOff>
      <xdr:row>21</xdr:row>
      <xdr:rowOff>171174</xdr:rowOff>
    </xdr:to>
    <xdr:sp macro="" textlink="">
      <xdr:nvSpPr>
        <xdr:cNvPr id="2" name="TextBox 1"/>
        <xdr:cNvSpPr txBox="1"/>
      </xdr:nvSpPr>
      <xdr:spPr>
        <a:xfrm>
          <a:off x="228599" y="180974"/>
          <a:ext cx="6458227" cy="3816765"/>
        </a:xfrm>
        <a:prstGeom prst="rect">
          <a:avLst/>
        </a:prstGeom>
        <a:solidFill>
          <a:srgbClr val="FFFFCC"/>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dk1"/>
              </a:solidFill>
              <a:effectLst/>
              <a:latin typeface="+mn-lt"/>
              <a:ea typeface="+mn-ea"/>
              <a:cs typeface="+mn-cs"/>
            </a:rPr>
            <a:t>You</a:t>
          </a:r>
          <a:r>
            <a:rPr lang="en-US" sz="1100" b="1" baseline="0">
              <a:solidFill>
                <a:schemeClr val="dk1"/>
              </a:solidFill>
              <a:effectLst/>
              <a:latin typeface="+mn-lt"/>
              <a:ea typeface="+mn-ea"/>
              <a:cs typeface="+mn-cs"/>
            </a:rPr>
            <a:t> need forecast the 2014 pro forma income statement and balance sheet for the firm whose 2012 and 2013 income statements and balance sheets are given here. </a:t>
          </a:r>
          <a:r>
            <a:rPr lang="en-US" sz="1100" b="1">
              <a:solidFill>
                <a:schemeClr val="dk1"/>
              </a:solidFill>
              <a:effectLst/>
              <a:latin typeface="+mn-lt"/>
              <a:ea typeface="+mn-ea"/>
              <a:cs typeface="+mn-cs"/>
            </a:rPr>
            <a:t>Inputs are provided for most items</a:t>
          </a:r>
          <a:r>
            <a:rPr lang="en-US" sz="1100" b="1" baseline="0">
              <a:solidFill>
                <a:schemeClr val="dk1"/>
              </a:solidFill>
              <a:effectLst/>
              <a:latin typeface="+mn-lt"/>
              <a:ea typeface="+mn-ea"/>
              <a:cs typeface="+mn-cs"/>
            </a:rPr>
            <a:t> in the Inputs section below.</a:t>
          </a:r>
        </a:p>
        <a:p>
          <a:r>
            <a:rPr lang="en-US" sz="1100" b="1">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The cost of goods sold in 2014 is expected to change with sales by 94% of the two-year arithmetic average of the proportion of this item in relation to sales</a:t>
          </a:r>
          <a:r>
            <a:rPr lang="en-US" sz="1100" b="1" baseline="0">
              <a:solidFill>
                <a:schemeClr val="dk1"/>
              </a:solidFill>
              <a:effectLst/>
              <a:latin typeface="+mn-lt"/>
              <a:ea typeface="+mn-ea"/>
              <a:cs typeface="+mn-cs"/>
            </a:rPr>
            <a:t> for 2012 and 2013.  </a:t>
          </a:r>
          <a:r>
            <a:rPr lang="en-US" sz="1100" b="1">
              <a:solidFill>
                <a:schemeClr val="dk1"/>
              </a:solidFill>
              <a:effectLst/>
              <a:latin typeface="+mn-lt"/>
              <a:ea typeface="+mn-ea"/>
              <a:cs typeface="+mn-cs"/>
            </a:rPr>
            <a:t>Selling and G&amp;A Expenses, Accounts receivable, Inventory, and Accounts Payable are expected to change with sales at 100% of the two-year arithmetic average of their percentage of sales</a:t>
          </a:r>
          <a:r>
            <a:rPr lang="en-US" sz="1100" b="1" baseline="0">
              <a:solidFill>
                <a:schemeClr val="dk1"/>
              </a:solidFill>
              <a:effectLst/>
              <a:latin typeface="+mn-lt"/>
              <a:ea typeface="+mn-ea"/>
              <a:cs typeface="+mn-cs"/>
            </a:rPr>
            <a:t> for 2012 and 2013</a:t>
          </a:r>
          <a:r>
            <a:rPr lang="en-US" sz="1100" b="1">
              <a:solidFill>
                <a:schemeClr val="dk1"/>
              </a:solidFill>
              <a:effectLst/>
              <a:latin typeface="+mn-lt"/>
              <a:ea typeface="+mn-ea"/>
              <a:cs typeface="+mn-cs"/>
            </a:rPr>
            <a:t>.  The firm has planned an investment of $250,000 in new equipment </a:t>
          </a:r>
          <a:r>
            <a:rPr lang="en-US" sz="1100" b="1" baseline="0">
              <a:solidFill>
                <a:schemeClr val="dk1"/>
              </a:solidFill>
              <a:effectLst/>
              <a:latin typeface="+mn-lt"/>
              <a:ea typeface="+mn-ea"/>
              <a:cs typeface="+mn-cs"/>
            </a:rPr>
            <a:t>in 2014.  This equipment will be depreciated at $50,000 per year. Depreciation on existing Plant/Equipment will be the same as it was in 2013. </a:t>
          </a:r>
          <a:r>
            <a:rPr lang="en-US" sz="1100" b="1">
              <a:solidFill>
                <a:schemeClr val="dk1"/>
              </a:solidFill>
              <a:effectLst/>
              <a:latin typeface="+mn-lt"/>
              <a:ea typeface="+mn-ea"/>
              <a:cs typeface="+mn-cs"/>
            </a:rPr>
            <a:t>Interest expense</a:t>
          </a:r>
          <a:r>
            <a:rPr lang="en-US" sz="1100" b="1" baseline="0">
              <a:solidFill>
                <a:schemeClr val="dk1"/>
              </a:solidFill>
              <a:effectLst/>
              <a:latin typeface="+mn-lt"/>
              <a:ea typeface="+mn-ea"/>
              <a:cs typeface="+mn-cs"/>
            </a:rPr>
            <a:t> for 2014 is computed on the 2013 ending balances in Short Term Notes Payable and Long Term Debt. Inputs for those interest rates are provided in the Inputs section.</a:t>
          </a:r>
        </a:p>
        <a:p>
          <a:endParaRPr lang="en-US">
            <a:effectLst/>
          </a:endParaRPr>
        </a:p>
        <a:p>
          <a:r>
            <a:rPr lang="en-US" sz="1100" b="1">
              <a:solidFill>
                <a:schemeClr val="dk1"/>
              </a:solidFill>
              <a:effectLst/>
              <a:latin typeface="+mn-lt"/>
              <a:ea typeface="+mn-ea"/>
              <a:cs typeface="+mn-cs"/>
            </a:rPr>
            <a:t>Complete the </a:t>
          </a:r>
          <a:r>
            <a:rPr lang="en-US" sz="1100" b="1" baseline="0">
              <a:solidFill>
                <a:schemeClr val="dk1"/>
              </a:solidFill>
              <a:effectLst/>
              <a:latin typeface="+mn-lt"/>
              <a:ea typeface="+mn-ea"/>
              <a:cs typeface="+mn-cs"/>
            </a:rPr>
            <a:t> pro-forma income statement and balance sheet for 2014 using the information above, the inputs below, and the values that are given in the statements. The 2014 projected statements should accurately adjust for any changes in the inputs. </a:t>
          </a:r>
        </a:p>
        <a:p>
          <a:endParaRPr lang="en-US">
            <a:effectLst/>
          </a:endParaRPr>
        </a:p>
        <a:p>
          <a:r>
            <a:rPr lang="en-US" sz="1100" b="1" baseline="0">
              <a:solidFill>
                <a:schemeClr val="dk1"/>
              </a:solidFill>
              <a:effectLst/>
              <a:latin typeface="+mn-lt"/>
              <a:ea typeface="+mn-ea"/>
              <a:cs typeface="+mn-cs"/>
            </a:rPr>
            <a:t>Compute the excess or deficit of financing for 2014 in the yellow box at the bottom of the Balance Sheet.  This number should be positive if the firm will have more financing than is needed, and it should be negative if the firm has less financing than is needed.</a:t>
          </a:r>
          <a:endParaRPr lang="en-US">
            <a:effectLst/>
          </a:endParaRPr>
        </a:p>
        <a:p>
          <a:endParaRPr lang="en-US" sz="1100" b="1" baseline="0">
            <a:solidFill>
              <a:schemeClr val="dk1"/>
            </a:solidFill>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8"/>
  <sheetViews>
    <sheetView zoomScale="145" zoomScaleNormal="145" workbookViewId="0">
      <selection activeCell="E12" sqref="E12"/>
    </sheetView>
  </sheetViews>
  <sheetFormatPr defaultRowHeight="15" x14ac:dyDescent="0.25"/>
  <cols>
    <col min="1" max="1" width="2.7109375" customWidth="1"/>
  </cols>
  <sheetData>
    <row r="2" spans="2:3" ht="18.75" x14ac:dyDescent="0.3">
      <c r="B2" s="92" t="s">
        <v>53</v>
      </c>
      <c r="C2" s="91"/>
    </row>
    <row r="3" spans="2:3" ht="18.75" x14ac:dyDescent="0.3">
      <c r="B3" s="92" t="s">
        <v>73</v>
      </c>
      <c r="C3" s="91"/>
    </row>
    <row r="4" spans="2:3" ht="18.75" x14ac:dyDescent="0.3">
      <c r="B4" s="92" t="s">
        <v>59</v>
      </c>
      <c r="C4" s="91"/>
    </row>
    <row r="5" spans="2:3" ht="6" customHeight="1" x14ac:dyDescent="0.3">
      <c r="B5" s="92"/>
      <c r="C5" s="91"/>
    </row>
    <row r="6" spans="2:3" ht="16.5" customHeight="1" x14ac:dyDescent="0.3">
      <c r="B6" s="92" t="s">
        <v>102</v>
      </c>
      <c r="C6" s="91"/>
    </row>
    <row r="7" spans="2:3" ht="16.5" customHeight="1" x14ac:dyDescent="0.3">
      <c r="B7" s="92" t="s">
        <v>103</v>
      </c>
      <c r="C7" s="91"/>
    </row>
    <row r="8" spans="2:3" ht="16.5" customHeight="1" x14ac:dyDescent="0.3">
      <c r="B8" s="92" t="s">
        <v>124</v>
      </c>
      <c r="C8" s="91"/>
    </row>
    <row r="9" spans="2:3" ht="4.5" customHeight="1" x14ac:dyDescent="0.3">
      <c r="B9" s="92"/>
      <c r="C9" s="91"/>
    </row>
    <row r="10" spans="2:3" ht="15" customHeight="1" x14ac:dyDescent="0.3">
      <c r="B10" s="92" t="s">
        <v>54</v>
      </c>
      <c r="C10" s="91"/>
    </row>
    <row r="11" spans="2:3" ht="16.5" customHeight="1" x14ac:dyDescent="0.3">
      <c r="B11" s="92"/>
      <c r="C11" s="91"/>
    </row>
    <row r="12" spans="2:3" ht="17.649999999999999" customHeight="1" x14ac:dyDescent="0.25">
      <c r="B12" s="91" t="s">
        <v>250</v>
      </c>
      <c r="C12" s="91"/>
    </row>
    <row r="13" spans="2:3" ht="18.75" x14ac:dyDescent="0.3">
      <c r="B13" s="92"/>
      <c r="C13" s="91"/>
    </row>
    <row r="14" spans="2:3" ht="20.45" customHeight="1" x14ac:dyDescent="0.25">
      <c r="B14" s="91" t="s">
        <v>55</v>
      </c>
      <c r="C14" s="91"/>
    </row>
    <row r="15" spans="2:3" x14ac:dyDescent="0.25">
      <c r="B15" s="91" t="s">
        <v>125</v>
      </c>
      <c r="C15" s="91"/>
    </row>
    <row r="16" spans="2:3" x14ac:dyDescent="0.25">
      <c r="B16" s="91" t="s">
        <v>226</v>
      </c>
      <c r="C16" s="91"/>
    </row>
    <row r="17" spans="2:3" x14ac:dyDescent="0.25">
      <c r="B17" s="91"/>
      <c r="C17" s="91"/>
    </row>
    <row r="18" spans="2:3" ht="17.649999999999999" customHeight="1" x14ac:dyDescent="0.25">
      <c r="B18" s="93" t="s">
        <v>104</v>
      </c>
      <c r="C18" s="91"/>
    </row>
    <row r="19" spans="2:3" ht="17.649999999999999" customHeight="1" x14ac:dyDescent="0.25">
      <c r="B19" s="93" t="s">
        <v>105</v>
      </c>
      <c r="C19" s="91"/>
    </row>
    <row r="20" spans="2:3" ht="17.649999999999999" customHeight="1" x14ac:dyDescent="0.25">
      <c r="B20" s="91"/>
      <c r="C20" s="91"/>
    </row>
    <row r="21" spans="2:3" ht="14.65" customHeight="1" x14ac:dyDescent="0.25">
      <c r="B21" s="91" t="s">
        <v>74</v>
      </c>
      <c r="C21" s="91"/>
    </row>
    <row r="22" spans="2:3" x14ac:dyDescent="0.25">
      <c r="B22" s="91"/>
      <c r="C22" s="91"/>
    </row>
    <row r="23" spans="2:3" ht="19.5" customHeight="1" x14ac:dyDescent="0.25">
      <c r="B23" s="91"/>
      <c r="C23" s="91" t="s">
        <v>75</v>
      </c>
    </row>
    <row r="24" spans="2:3" x14ac:dyDescent="0.25">
      <c r="B24" s="91"/>
      <c r="C24" s="91" t="s">
        <v>106</v>
      </c>
    </row>
    <row r="25" spans="2:3" x14ac:dyDescent="0.25">
      <c r="B25" s="91"/>
      <c r="C25" s="91" t="s">
        <v>126</v>
      </c>
    </row>
    <row r="26" spans="2:3" x14ac:dyDescent="0.25">
      <c r="B26" s="91"/>
      <c r="C26" s="91"/>
    </row>
    <row r="27" spans="2:3" x14ac:dyDescent="0.25">
      <c r="B27" s="91"/>
      <c r="C27" s="91"/>
    </row>
    <row r="28" spans="2:3" x14ac:dyDescent="0.25">
      <c r="C28" t="s">
        <v>107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W90"/>
  <sheetViews>
    <sheetView topLeftCell="A7" zoomScale="115" zoomScaleNormal="115" workbookViewId="0">
      <selection activeCell="H19" sqref="H19"/>
    </sheetView>
  </sheetViews>
  <sheetFormatPr defaultRowHeight="15" x14ac:dyDescent="0.25"/>
  <cols>
    <col min="1" max="2" width="2.7109375" customWidth="1"/>
    <col min="3" max="6" width="14.7109375" customWidth="1"/>
    <col min="7" max="7" width="16.28515625" customWidth="1"/>
    <col min="8" max="8" width="13.28515625" customWidth="1"/>
    <col min="9" max="9" width="8.7109375" customWidth="1"/>
  </cols>
  <sheetData>
    <row r="5" spans="23:23" ht="75" customHeight="1" x14ac:dyDescent="0.25"/>
    <row r="12" spans="23:23" x14ac:dyDescent="0.25">
      <c r="W12">
        <v>1</v>
      </c>
    </row>
    <row r="18" spans="3:19" x14ac:dyDescent="0.25">
      <c r="C18" s="41"/>
    </row>
    <row r="19" spans="3:19" x14ac:dyDescent="0.25">
      <c r="C19" s="41"/>
    </row>
    <row r="20" spans="3:19" x14ac:dyDescent="0.25">
      <c r="C20" s="16" t="s">
        <v>61</v>
      </c>
    </row>
    <row r="21" spans="3:19" ht="15.75" thickBot="1" x14ac:dyDescent="0.3">
      <c r="C21" s="6" t="s">
        <v>8</v>
      </c>
      <c r="F21" s="2">
        <v>245000</v>
      </c>
      <c r="G21" t="s">
        <v>87</v>
      </c>
      <c r="N21" t="s">
        <v>78</v>
      </c>
      <c r="O21">
        <f>IF(F25="Annual",1,IF(F25="Quarterly",4,12))</f>
        <v>12</v>
      </c>
      <c r="P21">
        <v>1</v>
      </c>
    </row>
    <row r="22" spans="3:19" ht="15.75" thickBot="1" x14ac:dyDescent="0.3">
      <c r="C22" s="41" t="s">
        <v>81</v>
      </c>
      <c r="F22" s="48">
        <v>2</v>
      </c>
      <c r="G22" t="s">
        <v>90</v>
      </c>
      <c r="H22" s="5">
        <f>D31*Term*Periods+F24-F21</f>
        <v>10805.003886129591</v>
      </c>
      <c r="N22" t="s">
        <v>79</v>
      </c>
      <c r="P22">
        <v>2</v>
      </c>
    </row>
    <row r="23" spans="3:19" x14ac:dyDescent="0.25">
      <c r="C23" s="6" t="s">
        <v>9</v>
      </c>
      <c r="F23" s="3">
        <v>3.6499999999999998E-2</v>
      </c>
      <c r="N23" t="s">
        <v>80</v>
      </c>
      <c r="P23">
        <v>3</v>
      </c>
    </row>
    <row r="24" spans="3:19" ht="15.75" thickBot="1" x14ac:dyDescent="0.3">
      <c r="C24" s="6" t="s">
        <v>10</v>
      </c>
      <c r="F24" s="2">
        <v>40000</v>
      </c>
      <c r="G24" t="s">
        <v>88</v>
      </c>
      <c r="P24">
        <v>4</v>
      </c>
    </row>
    <row r="25" spans="3:19" ht="15.75" thickBot="1" x14ac:dyDescent="0.3">
      <c r="C25" s="41" t="s">
        <v>60</v>
      </c>
      <c r="F25" t="s">
        <v>80</v>
      </c>
      <c r="G25" t="s">
        <v>89</v>
      </c>
      <c r="H25" s="53">
        <f>EFFECT(Rate,Periods)</f>
        <v>3.7116848113015966E-2</v>
      </c>
      <c r="P25">
        <v>5</v>
      </c>
    </row>
    <row r="26" spans="3:19" ht="4.1500000000000004" customHeight="1" thickBot="1" x14ac:dyDescent="0.3">
      <c r="C26" s="42"/>
      <c r="D26" s="8"/>
      <c r="E26" s="8"/>
      <c r="F26" s="8"/>
      <c r="G26" s="8"/>
      <c r="H26" s="8"/>
      <c r="I26" s="8"/>
      <c r="J26" s="8"/>
      <c r="K26" s="8"/>
      <c r="L26" s="8"/>
      <c r="M26" s="8"/>
      <c r="N26" s="15"/>
      <c r="O26" s="15"/>
      <c r="P26" s="15"/>
      <c r="Q26" s="15"/>
      <c r="R26" s="15"/>
      <c r="S26" s="15"/>
    </row>
    <row r="27" spans="3:19" ht="6" customHeight="1" x14ac:dyDescent="0.25"/>
    <row r="28" spans="3:19" ht="6" customHeight="1" thickBot="1" x14ac:dyDescent="0.3"/>
    <row r="29" spans="3:19" ht="30.75" thickBot="1" x14ac:dyDescent="0.3">
      <c r="C29" s="9" t="s">
        <v>11</v>
      </c>
      <c r="D29" s="10" t="s">
        <v>4</v>
      </c>
      <c r="E29" s="10" t="s">
        <v>12</v>
      </c>
      <c r="F29" s="10" t="s">
        <v>13</v>
      </c>
      <c r="G29" s="11" t="s">
        <v>14</v>
      </c>
    </row>
    <row r="30" spans="3:19" x14ac:dyDescent="0.25">
      <c r="C30" s="12">
        <v>0</v>
      </c>
      <c r="D30" s="13"/>
      <c r="E30" s="13"/>
      <c r="F30" s="13"/>
      <c r="G30" s="49">
        <f>F21</f>
        <v>245000</v>
      </c>
    </row>
    <row r="31" spans="3:19" x14ac:dyDescent="0.25">
      <c r="C31" s="12">
        <v>1</v>
      </c>
      <c r="D31" s="14">
        <f>PMT(Rate/Periods,Term*Periods,-F21,F24)</f>
        <v>8991.8751619220657</v>
      </c>
      <c r="E31" s="13">
        <f t="shared" ref="E31:E62" si="0">IF(C31&gt;Term*Periods,"",G30*Rate/Periods)</f>
        <v>745.20833333333337</v>
      </c>
      <c r="F31" s="14">
        <f t="shared" ref="F31:F62" si="1">IF(C31&gt;Term*Periods,"",D31-E31)</f>
        <v>8246.6668285887317</v>
      </c>
      <c r="G31" s="13">
        <f t="shared" ref="G31:G62" si="2">IF(C31&gt;Term*Periods,"",G30-F31)</f>
        <v>236753.33317141127</v>
      </c>
      <c r="K31" t="s">
        <v>15</v>
      </c>
    </row>
    <row r="32" spans="3:19" x14ac:dyDescent="0.25">
      <c r="C32" s="12">
        <v>2</v>
      </c>
      <c r="D32" s="14">
        <f t="shared" ref="D32:D63" si="3">IF(C32&gt;Term*Periods,"",IF(C32=Term*Periods,$D$31+$F$24,$D$31))</f>
        <v>8991.8751619220657</v>
      </c>
      <c r="E32" s="13">
        <f t="shared" si="0"/>
        <v>720.12472172970922</v>
      </c>
      <c r="F32" s="14">
        <f t="shared" si="1"/>
        <v>8271.7504401923561</v>
      </c>
      <c r="G32" s="13">
        <f t="shared" si="2"/>
        <v>228481.58273121892</v>
      </c>
    </row>
    <row r="33" spans="3:7" x14ac:dyDescent="0.25">
      <c r="C33" s="12">
        <v>3</v>
      </c>
      <c r="D33" s="14">
        <f t="shared" si="3"/>
        <v>8991.8751619220657</v>
      </c>
      <c r="E33" s="13">
        <f t="shared" si="0"/>
        <v>694.96481414079074</v>
      </c>
      <c r="F33" s="14">
        <f t="shared" si="1"/>
        <v>8296.910347781275</v>
      </c>
      <c r="G33" s="13">
        <f t="shared" si="2"/>
        <v>220184.67238343763</v>
      </c>
    </row>
    <row r="34" spans="3:7" x14ac:dyDescent="0.25">
      <c r="C34" s="12">
        <v>4</v>
      </c>
      <c r="D34" s="14">
        <f t="shared" si="3"/>
        <v>8991.8751619220657</v>
      </c>
      <c r="E34" s="13">
        <f t="shared" si="0"/>
        <v>669.72837849962275</v>
      </c>
      <c r="F34" s="14">
        <f t="shared" si="1"/>
        <v>8322.1467834224422</v>
      </c>
      <c r="G34" s="13">
        <f t="shared" si="2"/>
        <v>211862.52560001519</v>
      </c>
    </row>
    <row r="35" spans="3:7" x14ac:dyDescent="0.25">
      <c r="C35" s="12">
        <v>5</v>
      </c>
      <c r="D35" s="14">
        <f t="shared" si="3"/>
        <v>8991.8751619220657</v>
      </c>
      <c r="E35" s="13">
        <f t="shared" si="0"/>
        <v>644.41518203337944</v>
      </c>
      <c r="F35" s="14">
        <f t="shared" si="1"/>
        <v>8347.4599798886866</v>
      </c>
      <c r="G35" s="13">
        <f t="shared" si="2"/>
        <v>203515.06562012649</v>
      </c>
    </row>
    <row r="36" spans="3:7" x14ac:dyDescent="0.25">
      <c r="C36" s="12">
        <v>6</v>
      </c>
      <c r="D36" s="14">
        <f t="shared" si="3"/>
        <v>8991.8751619220657</v>
      </c>
      <c r="E36" s="13">
        <f t="shared" si="0"/>
        <v>619.02499126121802</v>
      </c>
      <c r="F36" s="14">
        <f t="shared" si="1"/>
        <v>8372.8501706608477</v>
      </c>
      <c r="G36" s="13">
        <f t="shared" si="2"/>
        <v>195142.21544946564</v>
      </c>
    </row>
    <row r="37" spans="3:7" x14ac:dyDescent="0.25">
      <c r="C37" s="12">
        <v>7</v>
      </c>
      <c r="D37" s="14">
        <f t="shared" si="3"/>
        <v>8991.8751619220657</v>
      </c>
      <c r="E37" s="13">
        <f t="shared" si="0"/>
        <v>593.55757199212462</v>
      </c>
      <c r="F37" s="14">
        <f t="shared" si="1"/>
        <v>8398.3175899299404</v>
      </c>
      <c r="G37" s="13">
        <f t="shared" si="2"/>
        <v>186743.8978595357</v>
      </c>
    </row>
    <row r="38" spans="3:7" x14ac:dyDescent="0.25">
      <c r="C38" s="12">
        <v>8</v>
      </c>
      <c r="D38" s="14">
        <f t="shared" si="3"/>
        <v>8991.8751619220657</v>
      </c>
      <c r="E38" s="13">
        <f t="shared" si="0"/>
        <v>568.01268932275445</v>
      </c>
      <c r="F38" s="14">
        <f t="shared" si="1"/>
        <v>8423.8624725993104</v>
      </c>
      <c r="G38" s="13">
        <f t="shared" si="2"/>
        <v>178320.03538693639</v>
      </c>
    </row>
    <row r="39" spans="3:7" x14ac:dyDescent="0.25">
      <c r="C39" s="12">
        <v>9</v>
      </c>
      <c r="D39" s="14">
        <f t="shared" si="3"/>
        <v>8991.8751619220657</v>
      </c>
      <c r="E39" s="13">
        <f t="shared" si="0"/>
        <v>542.39010763526483</v>
      </c>
      <c r="F39" s="14">
        <f t="shared" si="1"/>
        <v>8449.4850542868007</v>
      </c>
      <c r="G39" s="13">
        <f t="shared" si="2"/>
        <v>169870.55033264958</v>
      </c>
    </row>
    <row r="40" spans="3:7" x14ac:dyDescent="0.25">
      <c r="C40" s="12">
        <v>10</v>
      </c>
      <c r="D40" s="14">
        <f t="shared" si="3"/>
        <v>8991.8751619220657</v>
      </c>
      <c r="E40" s="13">
        <f t="shared" si="0"/>
        <v>516.68959059514248</v>
      </c>
      <c r="F40" s="14">
        <f t="shared" si="1"/>
        <v>8475.1855713269233</v>
      </c>
      <c r="G40" s="13">
        <f t="shared" si="2"/>
        <v>161395.36476132265</v>
      </c>
    </row>
    <row r="41" spans="3:7" x14ac:dyDescent="0.25">
      <c r="C41" s="12">
        <v>11</v>
      </c>
      <c r="D41" s="14">
        <f t="shared" si="3"/>
        <v>8991.8751619220657</v>
      </c>
      <c r="E41" s="13">
        <f t="shared" si="0"/>
        <v>490.910901149023</v>
      </c>
      <c r="F41" s="14">
        <f t="shared" si="1"/>
        <v>8500.964260773042</v>
      </c>
      <c r="G41" s="13">
        <f t="shared" si="2"/>
        <v>152894.40050054961</v>
      </c>
    </row>
    <row r="42" spans="3:7" x14ac:dyDescent="0.25">
      <c r="C42" s="12">
        <v>12</v>
      </c>
      <c r="D42" s="14">
        <f t="shared" si="3"/>
        <v>8991.8751619220657</v>
      </c>
      <c r="E42" s="13">
        <f t="shared" si="0"/>
        <v>465.05380152250501</v>
      </c>
      <c r="F42" s="14">
        <f t="shared" si="1"/>
        <v>8526.8213603995609</v>
      </c>
      <c r="G42" s="13">
        <f t="shared" si="2"/>
        <v>144367.57914015005</v>
      </c>
    </row>
    <row r="43" spans="3:7" x14ac:dyDescent="0.25">
      <c r="C43" s="12">
        <v>13</v>
      </c>
      <c r="D43" s="14">
        <f t="shared" si="3"/>
        <v>8991.8751619220657</v>
      </c>
      <c r="E43" s="13">
        <f t="shared" si="0"/>
        <v>439.1180532179564</v>
      </c>
      <c r="F43" s="14">
        <f t="shared" si="1"/>
        <v>8552.7571087041088</v>
      </c>
      <c r="G43" s="13">
        <f t="shared" si="2"/>
        <v>135814.82203144595</v>
      </c>
    </row>
    <row r="44" spans="3:7" x14ac:dyDescent="0.25">
      <c r="C44" s="12">
        <v>14</v>
      </c>
      <c r="D44" s="14">
        <f t="shared" si="3"/>
        <v>8991.8751619220657</v>
      </c>
      <c r="E44" s="13">
        <f t="shared" si="0"/>
        <v>413.10341701231476</v>
      </c>
      <c r="F44" s="14">
        <f t="shared" si="1"/>
        <v>8578.7717449097509</v>
      </c>
      <c r="G44" s="13">
        <f t="shared" si="2"/>
        <v>127236.05028653619</v>
      </c>
    </row>
    <row r="45" spans="3:7" x14ac:dyDescent="0.25">
      <c r="C45" s="12">
        <v>15</v>
      </c>
      <c r="D45" s="14">
        <f t="shared" si="3"/>
        <v>8991.8751619220657</v>
      </c>
      <c r="E45" s="13">
        <f t="shared" si="0"/>
        <v>387.00965295488089</v>
      </c>
      <c r="F45" s="14">
        <f t="shared" si="1"/>
        <v>8604.8655089671847</v>
      </c>
      <c r="G45" s="13">
        <f t="shared" si="2"/>
        <v>118631.18477756901</v>
      </c>
    </row>
    <row r="46" spans="3:7" x14ac:dyDescent="0.25">
      <c r="C46" s="12">
        <v>16</v>
      </c>
      <c r="D46" s="14">
        <f t="shared" si="3"/>
        <v>8991.8751619220657</v>
      </c>
      <c r="E46" s="13">
        <f t="shared" si="0"/>
        <v>360.83652036510574</v>
      </c>
      <c r="F46" s="14">
        <f t="shared" si="1"/>
        <v>8631.0386415569592</v>
      </c>
      <c r="G46" s="13">
        <f t="shared" si="2"/>
        <v>110000.14613601204</v>
      </c>
    </row>
    <row r="47" spans="3:7" x14ac:dyDescent="0.25">
      <c r="C47" s="12">
        <v>17</v>
      </c>
      <c r="D47" s="14">
        <f t="shared" si="3"/>
        <v>8991.8751619220657</v>
      </c>
      <c r="E47" s="13">
        <f t="shared" si="0"/>
        <v>334.58377783036991</v>
      </c>
      <c r="F47" s="14">
        <f t="shared" si="1"/>
        <v>8657.2913840916954</v>
      </c>
      <c r="G47" s="13">
        <f t="shared" si="2"/>
        <v>101342.85475192036</v>
      </c>
    </row>
    <row r="48" spans="3:7" x14ac:dyDescent="0.25">
      <c r="C48" s="12">
        <v>18</v>
      </c>
      <c r="D48" s="14">
        <f t="shared" si="3"/>
        <v>8991.8751619220657</v>
      </c>
      <c r="E48" s="13">
        <f t="shared" si="0"/>
        <v>308.25118320375776</v>
      </c>
      <c r="F48" s="14">
        <f t="shared" si="1"/>
        <v>8683.6239787183076</v>
      </c>
      <c r="G48" s="13">
        <f t="shared" si="2"/>
        <v>92659.230773202056</v>
      </c>
    </row>
    <row r="49" spans="3:7" x14ac:dyDescent="0.25">
      <c r="C49" s="12">
        <v>19</v>
      </c>
      <c r="D49" s="14">
        <f t="shared" si="3"/>
        <v>8991.8751619220657</v>
      </c>
      <c r="E49" s="13">
        <f t="shared" si="0"/>
        <v>281.8384936018229</v>
      </c>
      <c r="F49" s="14">
        <f t="shared" si="1"/>
        <v>8710.0366683202428</v>
      </c>
      <c r="G49" s="13">
        <f t="shared" si="2"/>
        <v>83949.194104881812</v>
      </c>
    </row>
    <row r="50" spans="3:7" x14ac:dyDescent="0.25">
      <c r="C50" s="12">
        <v>20</v>
      </c>
      <c r="D50" s="14">
        <f t="shared" si="3"/>
        <v>8991.8751619220657</v>
      </c>
      <c r="E50" s="13">
        <f t="shared" si="0"/>
        <v>255.34546540234882</v>
      </c>
      <c r="F50" s="14">
        <f t="shared" si="1"/>
        <v>8736.5296965197176</v>
      </c>
      <c r="G50" s="13">
        <f t="shared" si="2"/>
        <v>75212.664408362092</v>
      </c>
    </row>
    <row r="51" spans="3:7" x14ac:dyDescent="0.25">
      <c r="C51" s="12">
        <v>21</v>
      </c>
      <c r="D51" s="14">
        <f t="shared" si="3"/>
        <v>8991.8751619220657</v>
      </c>
      <c r="E51" s="13">
        <f t="shared" si="0"/>
        <v>228.77185424210134</v>
      </c>
      <c r="F51" s="14">
        <f t="shared" si="1"/>
        <v>8763.1033076799649</v>
      </c>
      <c r="G51" s="13">
        <f t="shared" si="2"/>
        <v>66449.561100682127</v>
      </c>
    </row>
    <row r="52" spans="3:7" x14ac:dyDescent="0.25">
      <c r="C52" s="12">
        <v>22</v>
      </c>
      <c r="D52" s="14">
        <f t="shared" si="3"/>
        <v>8991.8751619220657</v>
      </c>
      <c r="E52" s="13">
        <f t="shared" si="0"/>
        <v>202.11741501457479</v>
      </c>
      <c r="F52" s="14">
        <f t="shared" si="1"/>
        <v>8789.7577469074913</v>
      </c>
      <c r="G52" s="13">
        <f t="shared" si="2"/>
        <v>57659.803353774638</v>
      </c>
    </row>
    <row r="53" spans="3:7" x14ac:dyDescent="0.25">
      <c r="C53" s="12">
        <v>23</v>
      </c>
      <c r="D53" s="14">
        <f t="shared" si="3"/>
        <v>8991.8751619220657</v>
      </c>
      <c r="E53" s="13">
        <f t="shared" si="0"/>
        <v>175.38190186773116</v>
      </c>
      <c r="F53" s="14">
        <f t="shared" si="1"/>
        <v>8816.4932600543343</v>
      </c>
      <c r="G53" s="13">
        <f t="shared" si="2"/>
        <v>48843.310093720305</v>
      </c>
    </row>
    <row r="54" spans="3:7" x14ac:dyDescent="0.25">
      <c r="C54" s="12">
        <v>24</v>
      </c>
      <c r="D54" s="14">
        <f t="shared" si="3"/>
        <v>48991.875161922064</v>
      </c>
      <c r="E54" s="13">
        <f t="shared" si="0"/>
        <v>148.5650682017326</v>
      </c>
      <c r="F54" s="14">
        <f t="shared" si="1"/>
        <v>48843.310093720334</v>
      </c>
      <c r="G54" s="13">
        <f t="shared" si="2"/>
        <v>-2.9103830456733704E-11</v>
      </c>
    </row>
    <row r="55" spans="3:7" x14ac:dyDescent="0.25">
      <c r="C55" s="12">
        <v>25</v>
      </c>
      <c r="D55" s="14" t="str">
        <f t="shared" si="3"/>
        <v/>
      </c>
      <c r="E55" s="13" t="str">
        <f t="shared" si="0"/>
        <v/>
      </c>
      <c r="F55" s="14" t="str">
        <f t="shared" si="1"/>
        <v/>
      </c>
      <c r="G55" s="13" t="str">
        <f t="shared" si="2"/>
        <v/>
      </c>
    </row>
    <row r="56" spans="3:7" x14ac:dyDescent="0.25">
      <c r="C56" s="12">
        <v>26</v>
      </c>
      <c r="D56" s="14" t="str">
        <f t="shared" si="3"/>
        <v/>
      </c>
      <c r="E56" s="13" t="str">
        <f t="shared" si="0"/>
        <v/>
      </c>
      <c r="F56" s="14" t="str">
        <f t="shared" si="1"/>
        <v/>
      </c>
      <c r="G56" s="13" t="str">
        <f t="shared" si="2"/>
        <v/>
      </c>
    </row>
    <row r="57" spans="3:7" x14ac:dyDescent="0.25">
      <c r="C57" s="12">
        <v>27</v>
      </c>
      <c r="D57" s="14" t="str">
        <f t="shared" si="3"/>
        <v/>
      </c>
      <c r="E57" s="13" t="str">
        <f t="shared" si="0"/>
        <v/>
      </c>
      <c r="F57" s="14" t="str">
        <f t="shared" si="1"/>
        <v/>
      </c>
      <c r="G57" s="13" t="str">
        <f t="shared" si="2"/>
        <v/>
      </c>
    </row>
    <row r="58" spans="3:7" x14ac:dyDescent="0.25">
      <c r="C58" s="12">
        <v>28</v>
      </c>
      <c r="D58" s="14" t="str">
        <f t="shared" si="3"/>
        <v/>
      </c>
      <c r="E58" s="13" t="str">
        <f t="shared" si="0"/>
        <v/>
      </c>
      <c r="F58" s="14" t="str">
        <f t="shared" si="1"/>
        <v/>
      </c>
      <c r="G58" s="13" t="str">
        <f t="shared" si="2"/>
        <v/>
      </c>
    </row>
    <row r="59" spans="3:7" x14ac:dyDescent="0.25">
      <c r="C59" s="12">
        <v>29</v>
      </c>
      <c r="D59" s="14" t="str">
        <f t="shared" si="3"/>
        <v/>
      </c>
      <c r="E59" s="13" t="str">
        <f t="shared" si="0"/>
        <v/>
      </c>
      <c r="F59" s="14" t="str">
        <f t="shared" si="1"/>
        <v/>
      </c>
      <c r="G59" s="13" t="str">
        <f t="shared" si="2"/>
        <v/>
      </c>
    </row>
    <row r="60" spans="3:7" x14ac:dyDescent="0.25">
      <c r="C60" s="12">
        <v>30</v>
      </c>
      <c r="D60" s="14" t="str">
        <f t="shared" si="3"/>
        <v/>
      </c>
      <c r="E60" s="13" t="str">
        <f t="shared" si="0"/>
        <v/>
      </c>
      <c r="F60" s="14" t="str">
        <f t="shared" si="1"/>
        <v/>
      </c>
      <c r="G60" s="13" t="str">
        <f t="shared" si="2"/>
        <v/>
      </c>
    </row>
    <row r="61" spans="3:7" x14ac:dyDescent="0.25">
      <c r="C61" s="12">
        <v>31</v>
      </c>
      <c r="D61" s="14" t="str">
        <f t="shared" si="3"/>
        <v/>
      </c>
      <c r="E61" s="13" t="str">
        <f t="shared" si="0"/>
        <v/>
      </c>
      <c r="F61" s="14" t="str">
        <f t="shared" si="1"/>
        <v/>
      </c>
      <c r="G61" s="13" t="str">
        <f t="shared" si="2"/>
        <v/>
      </c>
    </row>
    <row r="62" spans="3:7" x14ac:dyDescent="0.25">
      <c r="C62" s="12">
        <v>32</v>
      </c>
      <c r="D62" s="14" t="str">
        <f t="shared" si="3"/>
        <v/>
      </c>
      <c r="E62" s="13" t="str">
        <f t="shared" si="0"/>
        <v/>
      </c>
      <c r="F62" s="14" t="str">
        <f t="shared" si="1"/>
        <v/>
      </c>
      <c r="G62" s="13" t="str">
        <f t="shared" si="2"/>
        <v/>
      </c>
    </row>
    <row r="63" spans="3:7" x14ac:dyDescent="0.25">
      <c r="C63" s="12">
        <v>33</v>
      </c>
      <c r="D63" s="14" t="str">
        <f t="shared" si="3"/>
        <v/>
      </c>
      <c r="E63" s="13" t="str">
        <f t="shared" ref="E63:E90" si="4">IF(C63&gt;Term*Periods,"",G62*Rate/Periods)</f>
        <v/>
      </c>
      <c r="F63" s="14" t="str">
        <f t="shared" ref="F63:F90" si="5">IF(C63&gt;Term*Periods,"",D63-E63)</f>
        <v/>
      </c>
      <c r="G63" s="13" t="str">
        <f t="shared" ref="G63:G90" si="6">IF(C63&gt;Term*Periods,"",G62-F63)</f>
        <v/>
      </c>
    </row>
    <row r="64" spans="3:7" x14ac:dyDescent="0.25">
      <c r="C64" s="12">
        <v>34</v>
      </c>
      <c r="D64" s="14" t="str">
        <f t="shared" ref="D64:D90" si="7">IF(C64&gt;Term*Periods,"",IF(C64=Term*Periods,$D$31+$F$24,$D$31))</f>
        <v/>
      </c>
      <c r="E64" s="13" t="str">
        <f t="shared" si="4"/>
        <v/>
      </c>
      <c r="F64" s="14" t="str">
        <f t="shared" si="5"/>
        <v/>
      </c>
      <c r="G64" s="13" t="str">
        <f t="shared" si="6"/>
        <v/>
      </c>
    </row>
    <row r="65" spans="3:7" x14ac:dyDescent="0.25">
      <c r="C65" s="12">
        <v>35</v>
      </c>
      <c r="D65" s="14" t="str">
        <f t="shared" si="7"/>
        <v/>
      </c>
      <c r="E65" s="13" t="str">
        <f t="shared" si="4"/>
        <v/>
      </c>
      <c r="F65" s="14" t="str">
        <f t="shared" si="5"/>
        <v/>
      </c>
      <c r="G65" s="13" t="str">
        <f t="shared" si="6"/>
        <v/>
      </c>
    </row>
    <row r="66" spans="3:7" x14ac:dyDescent="0.25">
      <c r="C66" s="12">
        <v>36</v>
      </c>
      <c r="D66" s="14" t="str">
        <f t="shared" si="7"/>
        <v/>
      </c>
      <c r="E66" s="13" t="str">
        <f t="shared" si="4"/>
        <v/>
      </c>
      <c r="F66" s="14" t="str">
        <f t="shared" si="5"/>
        <v/>
      </c>
      <c r="G66" s="13" t="str">
        <f t="shared" si="6"/>
        <v/>
      </c>
    </row>
    <row r="67" spans="3:7" x14ac:dyDescent="0.25">
      <c r="C67" s="12">
        <v>37</v>
      </c>
      <c r="D67" s="14" t="str">
        <f t="shared" si="7"/>
        <v/>
      </c>
      <c r="E67" s="13" t="str">
        <f t="shared" si="4"/>
        <v/>
      </c>
      <c r="F67" s="14" t="str">
        <f t="shared" si="5"/>
        <v/>
      </c>
      <c r="G67" s="13" t="str">
        <f t="shared" si="6"/>
        <v/>
      </c>
    </row>
    <row r="68" spans="3:7" x14ac:dyDescent="0.25">
      <c r="C68" s="12">
        <v>38</v>
      </c>
      <c r="D68" s="14" t="str">
        <f t="shared" si="7"/>
        <v/>
      </c>
      <c r="E68" s="13" t="str">
        <f t="shared" si="4"/>
        <v/>
      </c>
      <c r="F68" s="14" t="str">
        <f t="shared" si="5"/>
        <v/>
      </c>
      <c r="G68" s="13" t="str">
        <f t="shared" si="6"/>
        <v/>
      </c>
    </row>
    <row r="69" spans="3:7" x14ac:dyDescent="0.25">
      <c r="C69" s="12">
        <v>39</v>
      </c>
      <c r="D69" s="14" t="str">
        <f t="shared" si="7"/>
        <v/>
      </c>
      <c r="E69" s="13" t="str">
        <f t="shared" si="4"/>
        <v/>
      </c>
      <c r="F69" s="14" t="str">
        <f t="shared" si="5"/>
        <v/>
      </c>
      <c r="G69" s="13" t="str">
        <f t="shared" si="6"/>
        <v/>
      </c>
    </row>
    <row r="70" spans="3:7" x14ac:dyDescent="0.25">
      <c r="C70" s="12">
        <v>40</v>
      </c>
      <c r="D70" s="14" t="str">
        <f t="shared" si="7"/>
        <v/>
      </c>
      <c r="E70" s="13" t="str">
        <f t="shared" si="4"/>
        <v/>
      </c>
      <c r="F70" s="14" t="str">
        <f t="shared" si="5"/>
        <v/>
      </c>
      <c r="G70" s="13" t="str">
        <f t="shared" si="6"/>
        <v/>
      </c>
    </row>
    <row r="71" spans="3:7" x14ac:dyDescent="0.25">
      <c r="C71" s="12">
        <v>41</v>
      </c>
      <c r="D71" s="14" t="str">
        <f t="shared" si="7"/>
        <v/>
      </c>
      <c r="E71" s="13" t="str">
        <f t="shared" si="4"/>
        <v/>
      </c>
      <c r="F71" s="14" t="str">
        <f t="shared" si="5"/>
        <v/>
      </c>
      <c r="G71" s="13" t="str">
        <f t="shared" si="6"/>
        <v/>
      </c>
    </row>
    <row r="72" spans="3:7" x14ac:dyDescent="0.25">
      <c r="C72" s="12">
        <v>42</v>
      </c>
      <c r="D72" s="14" t="str">
        <f t="shared" si="7"/>
        <v/>
      </c>
      <c r="E72" s="13" t="str">
        <f t="shared" si="4"/>
        <v/>
      </c>
      <c r="F72" s="14" t="str">
        <f t="shared" si="5"/>
        <v/>
      </c>
      <c r="G72" s="13" t="str">
        <f t="shared" si="6"/>
        <v/>
      </c>
    </row>
    <row r="73" spans="3:7" x14ac:dyDescent="0.25">
      <c r="C73" s="12">
        <v>43</v>
      </c>
      <c r="D73" s="14" t="str">
        <f t="shared" si="7"/>
        <v/>
      </c>
      <c r="E73" s="13" t="str">
        <f t="shared" si="4"/>
        <v/>
      </c>
      <c r="F73" s="14" t="str">
        <f t="shared" si="5"/>
        <v/>
      </c>
      <c r="G73" s="13" t="str">
        <f t="shared" si="6"/>
        <v/>
      </c>
    </row>
    <row r="74" spans="3:7" x14ac:dyDescent="0.25">
      <c r="C74" s="12">
        <v>44</v>
      </c>
      <c r="D74" s="14" t="str">
        <f t="shared" si="7"/>
        <v/>
      </c>
      <c r="E74" s="13" t="str">
        <f t="shared" si="4"/>
        <v/>
      </c>
      <c r="F74" s="14" t="str">
        <f t="shared" si="5"/>
        <v/>
      </c>
      <c r="G74" s="13" t="str">
        <f t="shared" si="6"/>
        <v/>
      </c>
    </row>
    <row r="75" spans="3:7" x14ac:dyDescent="0.25">
      <c r="C75" s="12">
        <v>45</v>
      </c>
      <c r="D75" s="14" t="str">
        <f t="shared" si="7"/>
        <v/>
      </c>
      <c r="E75" s="13" t="str">
        <f t="shared" si="4"/>
        <v/>
      </c>
      <c r="F75" s="14" t="str">
        <f t="shared" si="5"/>
        <v/>
      </c>
      <c r="G75" s="13" t="str">
        <f t="shared" si="6"/>
        <v/>
      </c>
    </row>
    <row r="76" spans="3:7" x14ac:dyDescent="0.25">
      <c r="C76" s="12">
        <v>46</v>
      </c>
      <c r="D76" s="14" t="str">
        <f t="shared" si="7"/>
        <v/>
      </c>
      <c r="E76" s="13" t="str">
        <f t="shared" si="4"/>
        <v/>
      </c>
      <c r="F76" s="14" t="str">
        <f t="shared" si="5"/>
        <v/>
      </c>
      <c r="G76" s="13" t="str">
        <f t="shared" si="6"/>
        <v/>
      </c>
    </row>
    <row r="77" spans="3:7" x14ac:dyDescent="0.25">
      <c r="C77" s="12">
        <v>47</v>
      </c>
      <c r="D77" s="14" t="str">
        <f t="shared" si="7"/>
        <v/>
      </c>
      <c r="E77" s="13" t="str">
        <f t="shared" si="4"/>
        <v/>
      </c>
      <c r="F77" s="14" t="str">
        <f t="shared" si="5"/>
        <v/>
      </c>
      <c r="G77" s="13" t="str">
        <f t="shared" si="6"/>
        <v/>
      </c>
    </row>
    <row r="78" spans="3:7" x14ac:dyDescent="0.25">
      <c r="C78" s="12">
        <v>48</v>
      </c>
      <c r="D78" s="14" t="str">
        <f t="shared" si="7"/>
        <v/>
      </c>
      <c r="E78" s="13" t="str">
        <f t="shared" si="4"/>
        <v/>
      </c>
      <c r="F78" s="14" t="str">
        <f t="shared" si="5"/>
        <v/>
      </c>
      <c r="G78" s="13" t="str">
        <f t="shared" si="6"/>
        <v/>
      </c>
    </row>
    <row r="79" spans="3:7" x14ac:dyDescent="0.25">
      <c r="C79" s="12">
        <v>49</v>
      </c>
      <c r="D79" s="14" t="str">
        <f t="shared" si="7"/>
        <v/>
      </c>
      <c r="E79" s="13" t="str">
        <f t="shared" si="4"/>
        <v/>
      </c>
      <c r="F79" s="14" t="str">
        <f t="shared" si="5"/>
        <v/>
      </c>
      <c r="G79" s="13" t="str">
        <f t="shared" si="6"/>
        <v/>
      </c>
    </row>
    <row r="80" spans="3:7" x14ac:dyDescent="0.25">
      <c r="C80" s="12">
        <v>50</v>
      </c>
      <c r="D80" s="14" t="str">
        <f t="shared" si="7"/>
        <v/>
      </c>
      <c r="E80" s="13" t="str">
        <f t="shared" si="4"/>
        <v/>
      </c>
      <c r="F80" s="14" t="str">
        <f t="shared" si="5"/>
        <v/>
      </c>
      <c r="G80" s="13" t="str">
        <f t="shared" si="6"/>
        <v/>
      </c>
    </row>
    <row r="81" spans="3:7" x14ac:dyDescent="0.25">
      <c r="C81" s="12">
        <v>51</v>
      </c>
      <c r="D81" s="14" t="str">
        <f t="shared" si="7"/>
        <v/>
      </c>
      <c r="E81" s="13" t="str">
        <f t="shared" si="4"/>
        <v/>
      </c>
      <c r="F81" s="14" t="str">
        <f t="shared" si="5"/>
        <v/>
      </c>
      <c r="G81" s="13" t="str">
        <f t="shared" si="6"/>
        <v/>
      </c>
    </row>
    <row r="82" spans="3:7" x14ac:dyDescent="0.25">
      <c r="C82" s="12">
        <v>52</v>
      </c>
      <c r="D82" s="14" t="str">
        <f t="shared" si="7"/>
        <v/>
      </c>
      <c r="E82" s="13" t="str">
        <f t="shared" si="4"/>
        <v/>
      </c>
      <c r="F82" s="14" t="str">
        <f t="shared" si="5"/>
        <v/>
      </c>
      <c r="G82" s="13" t="str">
        <f t="shared" si="6"/>
        <v/>
      </c>
    </row>
    <row r="83" spans="3:7" x14ac:dyDescent="0.25">
      <c r="C83" s="12">
        <v>53</v>
      </c>
      <c r="D83" s="14" t="str">
        <f t="shared" si="7"/>
        <v/>
      </c>
      <c r="E83" s="13" t="str">
        <f t="shared" si="4"/>
        <v/>
      </c>
      <c r="F83" s="14" t="str">
        <f t="shared" si="5"/>
        <v/>
      </c>
      <c r="G83" s="13" t="str">
        <f t="shared" si="6"/>
        <v/>
      </c>
    </row>
    <row r="84" spans="3:7" x14ac:dyDescent="0.25">
      <c r="C84" s="12">
        <v>54</v>
      </c>
      <c r="D84" s="14" t="str">
        <f t="shared" si="7"/>
        <v/>
      </c>
      <c r="E84" s="13" t="str">
        <f t="shared" si="4"/>
        <v/>
      </c>
      <c r="F84" s="14" t="str">
        <f t="shared" si="5"/>
        <v/>
      </c>
      <c r="G84" s="13" t="str">
        <f t="shared" si="6"/>
        <v/>
      </c>
    </row>
    <row r="85" spans="3:7" x14ac:dyDescent="0.25">
      <c r="C85" s="12">
        <v>55</v>
      </c>
      <c r="D85" s="14" t="str">
        <f t="shared" si="7"/>
        <v/>
      </c>
      <c r="E85" s="13" t="str">
        <f t="shared" si="4"/>
        <v/>
      </c>
      <c r="F85" s="14" t="str">
        <f t="shared" si="5"/>
        <v/>
      </c>
      <c r="G85" s="13" t="str">
        <f t="shared" si="6"/>
        <v/>
      </c>
    </row>
    <row r="86" spans="3:7" x14ac:dyDescent="0.25">
      <c r="C86" s="12">
        <v>56</v>
      </c>
      <c r="D86" s="14" t="str">
        <f t="shared" si="7"/>
        <v/>
      </c>
      <c r="E86" s="13" t="str">
        <f t="shared" si="4"/>
        <v/>
      </c>
      <c r="F86" s="14" t="str">
        <f t="shared" si="5"/>
        <v/>
      </c>
      <c r="G86" s="13" t="str">
        <f t="shared" si="6"/>
        <v/>
      </c>
    </row>
    <row r="87" spans="3:7" x14ac:dyDescent="0.25">
      <c r="C87" s="12">
        <v>57</v>
      </c>
      <c r="D87" s="14" t="str">
        <f t="shared" si="7"/>
        <v/>
      </c>
      <c r="E87" s="13" t="str">
        <f t="shared" si="4"/>
        <v/>
      </c>
      <c r="F87" s="14" t="str">
        <f t="shared" si="5"/>
        <v/>
      </c>
      <c r="G87" s="13" t="str">
        <f t="shared" si="6"/>
        <v/>
      </c>
    </row>
    <row r="88" spans="3:7" x14ac:dyDescent="0.25">
      <c r="C88" s="12">
        <v>58</v>
      </c>
      <c r="D88" s="14" t="str">
        <f t="shared" si="7"/>
        <v/>
      </c>
      <c r="E88" s="13" t="str">
        <f t="shared" si="4"/>
        <v/>
      </c>
      <c r="F88" s="14" t="str">
        <f t="shared" si="5"/>
        <v/>
      </c>
      <c r="G88" s="13" t="str">
        <f t="shared" si="6"/>
        <v/>
      </c>
    </row>
    <row r="89" spans="3:7" x14ac:dyDescent="0.25">
      <c r="C89" s="12">
        <v>59</v>
      </c>
      <c r="D89" s="14" t="str">
        <f t="shared" si="7"/>
        <v/>
      </c>
      <c r="E89" s="13" t="str">
        <f t="shared" si="4"/>
        <v/>
      </c>
      <c r="F89" s="14" t="str">
        <f t="shared" si="5"/>
        <v/>
      </c>
      <c r="G89" s="13" t="str">
        <f t="shared" si="6"/>
        <v/>
      </c>
    </row>
    <row r="90" spans="3:7" x14ac:dyDescent="0.25">
      <c r="C90" s="12">
        <v>60</v>
      </c>
      <c r="D90" s="14" t="str">
        <f t="shared" si="7"/>
        <v/>
      </c>
      <c r="E90" s="13" t="str">
        <f t="shared" si="4"/>
        <v/>
      </c>
      <c r="F90" s="14" t="str">
        <f t="shared" si="5"/>
        <v/>
      </c>
      <c r="G90" s="13" t="str">
        <f t="shared" si="6"/>
        <v/>
      </c>
    </row>
  </sheetData>
  <dataValidations count="5">
    <dataValidation type="list" allowBlank="1" showInputMessage="1" showErrorMessage="1" sqref="F25">
      <formula1>$N$21:$N$23</formula1>
    </dataValidation>
    <dataValidation type="list" allowBlank="1" showInputMessage="1" showErrorMessage="1" prompt="Select a value from the drop-down list._x000a_" sqref="F22">
      <formula1>$P$21:$P$25</formula1>
    </dataValidation>
    <dataValidation type="whole" operator="greaterThan" allowBlank="1" showInputMessage="1" showErrorMessage="1" prompt="This value must be a positive number greater than zero." sqref="F21">
      <formula1>0</formula1>
    </dataValidation>
    <dataValidation type="decimal" allowBlank="1" showInputMessage="1" showErrorMessage="1" prompt="This interest rate must be between 5% and 15%." sqref="F23">
      <formula1>0.02</formula1>
      <formula2>0.1</formula2>
    </dataValidation>
    <dataValidation type="whole" allowBlank="1" showInputMessage="1" showErrorMessage="1" prompt="This input must be between zero and the total amount of the loan." sqref="F24">
      <formula1>0</formula1>
      <formula2>F21</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8:G31"/>
  <sheetViews>
    <sheetView topLeftCell="A7" zoomScale="115" zoomScaleNormal="115" workbookViewId="0">
      <selection activeCell="C21" sqref="C21"/>
    </sheetView>
  </sheetViews>
  <sheetFormatPr defaultColWidth="8.7109375" defaultRowHeight="15" x14ac:dyDescent="0.25"/>
  <cols>
    <col min="1" max="1" width="8.7109375" style="46"/>
    <col min="2" max="2" width="29.28515625" style="46" customWidth="1"/>
    <col min="3" max="3" width="12.7109375" style="46" customWidth="1"/>
    <col min="4" max="4" width="2.5703125" style="46" customWidth="1"/>
    <col min="5" max="5" width="15.7109375" style="46" customWidth="1"/>
    <col min="6" max="6" width="24" style="46" customWidth="1"/>
    <col min="7" max="7" width="18.42578125" style="46" customWidth="1"/>
    <col min="8" max="16384" width="8.7109375" style="46"/>
  </cols>
  <sheetData>
    <row r="18" spans="2:7" ht="15.75" thickBot="1" x14ac:dyDescent="0.3">
      <c r="B18" s="46" t="s">
        <v>62</v>
      </c>
      <c r="C18" s="47">
        <v>100000</v>
      </c>
      <c r="E18" s="46" t="s">
        <v>83</v>
      </c>
    </row>
    <row r="19" spans="2:7" ht="15.75" thickBot="1" x14ac:dyDescent="0.3">
      <c r="B19" s="46" t="s">
        <v>63</v>
      </c>
      <c r="C19" s="44">
        <v>10</v>
      </c>
      <c r="E19" s="46" t="s">
        <v>84</v>
      </c>
      <c r="G19" s="51">
        <f>PMT(C20/12,C19*12,-C18)</f>
        <v>1321.5073688176165</v>
      </c>
    </row>
    <row r="20" spans="2:7" x14ac:dyDescent="0.25">
      <c r="B20" s="46" t="s">
        <v>16</v>
      </c>
      <c r="C20" s="54">
        <v>0.1</v>
      </c>
    </row>
    <row r="21" spans="2:7" x14ac:dyDescent="0.25">
      <c r="B21" s="46" t="s">
        <v>64</v>
      </c>
      <c r="C21" s="47">
        <v>1000</v>
      </c>
      <c r="E21" s="46" t="s">
        <v>82</v>
      </c>
    </row>
    <row r="22" spans="2:7" ht="15.75" thickBot="1" x14ac:dyDescent="0.3">
      <c r="E22" s="46" t="s">
        <v>65</v>
      </c>
    </row>
    <row r="23" spans="2:7" ht="15.75" thickBot="1" x14ac:dyDescent="0.3">
      <c r="E23" s="46" t="s">
        <v>85</v>
      </c>
      <c r="G23" s="98">
        <f>NPER(C20/12,G19+C21,-C18)</f>
        <v>53.582043538269609</v>
      </c>
    </row>
    <row r="25" spans="2:7" x14ac:dyDescent="0.25">
      <c r="E25" s="46" t="s">
        <v>66</v>
      </c>
    </row>
    <row r="26" spans="2:7" x14ac:dyDescent="0.25">
      <c r="E26" s="46" t="s">
        <v>67</v>
      </c>
    </row>
    <row r="27" spans="2:7" x14ac:dyDescent="0.25">
      <c r="E27" s="46" t="s">
        <v>68</v>
      </c>
    </row>
    <row r="28" spans="2:7" x14ac:dyDescent="0.25">
      <c r="E28" s="46" t="s">
        <v>69</v>
      </c>
    </row>
    <row r="29" spans="2:7" x14ac:dyDescent="0.25">
      <c r="E29" s="46" t="s">
        <v>70</v>
      </c>
    </row>
    <row r="30" spans="2:7" ht="15.75" thickBot="1" x14ac:dyDescent="0.3">
      <c r="E30" s="46" t="s">
        <v>71</v>
      </c>
    </row>
    <row r="31" spans="2:7" ht="15.75" thickBot="1" x14ac:dyDescent="0.3">
      <c r="E31" s="46" t="s">
        <v>72</v>
      </c>
      <c r="G31" s="5">
        <f>(G19*C19*12)-(G23*(G19+C21))</f>
        <v>34189.775347714734</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5"/>
  <sheetViews>
    <sheetView workbookViewId="0">
      <selection activeCell="J6" sqref="J6"/>
    </sheetView>
  </sheetViews>
  <sheetFormatPr defaultRowHeight="15" x14ac:dyDescent="0.25"/>
  <cols>
    <col min="1" max="1" width="4.42578125" customWidth="1"/>
    <col min="7" max="7" width="10.7109375" customWidth="1"/>
    <col min="8" max="8" width="14.5703125" customWidth="1"/>
    <col min="13" max="13" width="11.7109375" customWidth="1"/>
    <col min="14" max="14" width="17" style="97" customWidth="1"/>
    <col min="15" max="15" width="14.42578125" customWidth="1"/>
    <col min="16" max="16" width="15.140625" customWidth="1"/>
  </cols>
  <sheetData>
    <row r="2" spans="2:16" x14ac:dyDescent="0.25">
      <c r="B2" s="120" t="s">
        <v>108</v>
      </c>
      <c r="C2" s="55"/>
      <c r="D2" s="55"/>
      <c r="E2" s="55"/>
      <c r="F2" s="55"/>
      <c r="G2" s="55"/>
      <c r="H2" s="55"/>
      <c r="I2" s="55"/>
      <c r="J2" s="55"/>
      <c r="K2" s="55"/>
    </row>
    <row r="3" spans="2:16" x14ac:dyDescent="0.25">
      <c r="B3" s="120" t="s">
        <v>300</v>
      </c>
      <c r="C3" s="55"/>
      <c r="D3" s="55"/>
      <c r="E3" s="55"/>
      <c r="F3" s="55"/>
      <c r="G3" s="55"/>
      <c r="H3" s="55"/>
      <c r="I3" s="55"/>
      <c r="J3" s="55"/>
      <c r="K3" s="55"/>
    </row>
    <row r="4" spans="2:16" x14ac:dyDescent="0.25">
      <c r="B4" s="120" t="s">
        <v>263</v>
      </c>
      <c r="C4" s="55"/>
      <c r="D4" s="55"/>
      <c r="E4" s="55"/>
      <c r="F4" s="55"/>
      <c r="G4" s="55"/>
      <c r="H4" s="55"/>
      <c r="I4" s="55"/>
      <c r="J4" s="55"/>
      <c r="K4" s="55"/>
    </row>
    <row r="5" spans="2:16" ht="24" customHeight="1" x14ac:dyDescent="0.25">
      <c r="B5" s="120" t="s">
        <v>264</v>
      </c>
      <c r="C5" s="55"/>
      <c r="D5" s="55"/>
      <c r="E5" s="55"/>
      <c r="F5" s="55"/>
      <c r="G5" s="55"/>
      <c r="H5" s="55"/>
      <c r="I5" s="55"/>
      <c r="J5" s="55"/>
      <c r="K5" s="55"/>
    </row>
    <row r="6" spans="2:16" x14ac:dyDescent="0.25">
      <c r="B6" s="120" t="s">
        <v>265</v>
      </c>
      <c r="C6" s="55"/>
      <c r="D6" s="55"/>
      <c r="E6" s="55"/>
      <c r="F6" s="55"/>
      <c r="G6" s="55"/>
      <c r="H6" s="55"/>
      <c r="I6" s="55"/>
      <c r="J6" s="55"/>
      <c r="K6" s="55"/>
    </row>
    <row r="7" spans="2:16" x14ac:dyDescent="0.25">
      <c r="B7" s="120" t="s">
        <v>199</v>
      </c>
      <c r="C7" s="55"/>
      <c r="D7" s="55"/>
      <c r="E7" s="55"/>
      <c r="F7" s="55"/>
      <c r="G7" s="55"/>
      <c r="H7" s="55"/>
      <c r="I7" s="55"/>
      <c r="J7" s="55"/>
      <c r="K7" s="55"/>
    </row>
    <row r="8" spans="2:16" ht="9" customHeight="1" x14ac:dyDescent="0.25">
      <c r="B8" s="120"/>
      <c r="C8" s="55"/>
      <c r="D8" s="55"/>
      <c r="E8" s="55"/>
      <c r="F8" s="55"/>
      <c r="G8" s="55"/>
      <c r="H8" s="55"/>
      <c r="I8" s="55"/>
      <c r="J8" s="55"/>
      <c r="K8" s="55"/>
    </row>
    <row r="9" spans="2:16" x14ac:dyDescent="0.25">
      <c r="B9" s="120" t="s">
        <v>200</v>
      </c>
      <c r="C9" s="55"/>
      <c r="D9" s="55"/>
      <c r="E9" s="55"/>
      <c r="F9" s="55"/>
      <c r="G9" s="55"/>
      <c r="H9" s="55"/>
      <c r="I9" s="55"/>
      <c r="J9" s="55"/>
      <c r="K9" s="55"/>
    </row>
    <row r="10" spans="2:16" x14ac:dyDescent="0.25">
      <c r="B10" s="120" t="s">
        <v>201</v>
      </c>
      <c r="C10" s="55"/>
      <c r="D10" s="55"/>
      <c r="E10" s="55"/>
      <c r="F10" s="55"/>
      <c r="G10" s="55"/>
      <c r="H10" s="55"/>
      <c r="I10" s="55"/>
      <c r="J10" s="55"/>
      <c r="K10" s="55"/>
    </row>
    <row r="11" spans="2:16" x14ac:dyDescent="0.25">
      <c r="B11" s="120" t="s">
        <v>202</v>
      </c>
      <c r="C11" s="55"/>
      <c r="D11" s="55"/>
      <c r="E11" s="55"/>
      <c r="F11" s="55"/>
      <c r="G11" s="55"/>
      <c r="H11" s="55"/>
      <c r="I11" s="55"/>
      <c r="J11" s="55"/>
      <c r="K11" s="55"/>
      <c r="O11" s="95"/>
      <c r="P11" s="95"/>
    </row>
    <row r="12" spans="2:16" s="94" customFormat="1" ht="8.65" customHeight="1" x14ac:dyDescent="0.25">
      <c r="B12" s="120"/>
      <c r="N12" s="97"/>
      <c r="O12" s="95"/>
      <c r="P12" s="95"/>
    </row>
    <row r="13" spans="2:16" s="94" customFormat="1" x14ac:dyDescent="0.25">
      <c r="B13" s="120" t="s">
        <v>109</v>
      </c>
      <c r="N13" s="97"/>
      <c r="O13" s="95"/>
      <c r="P13" s="95"/>
    </row>
    <row r="14" spans="2:16" s="94" customFormat="1" x14ac:dyDescent="0.25">
      <c r="B14" s="120" t="s">
        <v>110</v>
      </c>
      <c r="N14" s="97"/>
      <c r="O14" s="95"/>
      <c r="P14" s="95"/>
    </row>
    <row r="15" spans="2:16" s="94" customFormat="1" ht="15.75" thickBot="1" x14ac:dyDescent="0.3">
      <c r="N15" s="97"/>
      <c r="O15" s="95"/>
      <c r="P15" s="95"/>
    </row>
    <row r="16" spans="2:16" ht="15.75" thickBot="1" x14ac:dyDescent="0.3">
      <c r="B16" s="55"/>
      <c r="C16" s="55" t="s">
        <v>111</v>
      </c>
      <c r="D16" s="55"/>
      <c r="E16" s="55"/>
      <c r="F16" s="55"/>
      <c r="G16" s="55"/>
      <c r="H16" s="59">
        <v>0.05</v>
      </c>
      <c r="I16" s="55"/>
      <c r="J16" s="55"/>
      <c r="K16" s="55"/>
      <c r="O16" s="95" t="s">
        <v>193</v>
      </c>
      <c r="P16" s="95" t="s">
        <v>195</v>
      </c>
    </row>
    <row r="17" spans="2:16" ht="15.75" thickBot="1" x14ac:dyDescent="0.3">
      <c r="B17" s="57"/>
      <c r="C17" s="57"/>
      <c r="D17" s="57"/>
      <c r="E17" s="57"/>
      <c r="F17" s="57"/>
      <c r="G17" s="57"/>
      <c r="H17" s="57"/>
      <c r="I17" s="57"/>
      <c r="J17" s="57"/>
      <c r="K17" s="57"/>
      <c r="L17" s="113" t="s">
        <v>223</v>
      </c>
      <c r="M17" s="95" t="s">
        <v>196</v>
      </c>
      <c r="N17" s="95" t="s">
        <v>197</v>
      </c>
      <c r="O17" s="95" t="s">
        <v>194</v>
      </c>
      <c r="P17" s="95" t="s">
        <v>14</v>
      </c>
    </row>
    <row r="18" spans="2:16" ht="15.75" thickBot="1" x14ac:dyDescent="0.3">
      <c r="B18" s="143" t="s">
        <v>112</v>
      </c>
      <c r="C18" s="143"/>
      <c r="D18" s="143"/>
      <c r="E18" s="143"/>
      <c r="F18" s="143"/>
      <c r="G18" s="143"/>
      <c r="H18" s="143"/>
      <c r="I18" s="143"/>
      <c r="J18" s="143"/>
      <c r="K18" s="143"/>
      <c r="L18">
        <v>0</v>
      </c>
      <c r="M18" s="96">
        <v>42005</v>
      </c>
      <c r="N18" s="97" t="s">
        <v>143</v>
      </c>
      <c r="O18" s="56">
        <v>25000</v>
      </c>
      <c r="P18" s="56">
        <f>O18</f>
        <v>25000</v>
      </c>
    </row>
    <row r="19" spans="2:16" x14ac:dyDescent="0.25">
      <c r="L19">
        <v>1</v>
      </c>
      <c r="M19" s="96">
        <v>42370</v>
      </c>
      <c r="N19" s="97" t="s">
        <v>144</v>
      </c>
      <c r="O19" s="56">
        <f>H26</f>
        <v>40963.507005603809</v>
      </c>
      <c r="P19" s="56">
        <f>O19+(P18*(1+$H$16))</f>
        <v>67213.507005603809</v>
      </c>
    </row>
    <row r="20" spans="2:16" x14ac:dyDescent="0.25">
      <c r="C20" s="58" t="s">
        <v>113</v>
      </c>
      <c r="D20" t="s">
        <v>245</v>
      </c>
      <c r="H20" s="56">
        <f>-PV(H16,30,200000,0)</f>
        <v>3074490.2053765673</v>
      </c>
      <c r="L20">
        <v>2</v>
      </c>
      <c r="M20" s="96">
        <v>42736</v>
      </c>
      <c r="N20" s="97" t="s">
        <v>145</v>
      </c>
      <c r="O20" s="56">
        <f t="shared" ref="O20:O47" si="0">O19</f>
        <v>40963.507005603809</v>
      </c>
      <c r="P20" s="56">
        <f t="shared" ref="P20:P80" si="1">O20+(P19*(1+$H$16))</f>
        <v>111537.68936148781</v>
      </c>
    </row>
    <row r="21" spans="2:16" x14ac:dyDescent="0.25">
      <c r="L21" s="111">
        <v>3</v>
      </c>
      <c r="M21" s="96">
        <v>43101</v>
      </c>
      <c r="N21" s="97" t="s">
        <v>146</v>
      </c>
      <c r="O21" s="56">
        <f t="shared" si="0"/>
        <v>40963.507005603809</v>
      </c>
      <c r="P21" s="56">
        <f t="shared" si="1"/>
        <v>158078.08083516601</v>
      </c>
    </row>
    <row r="22" spans="2:16" x14ac:dyDescent="0.25">
      <c r="C22" s="58" t="s">
        <v>114</v>
      </c>
      <c r="D22" t="s">
        <v>271</v>
      </c>
      <c r="H22" s="56">
        <f>-PV(H16,32,0,H20)</f>
        <v>645231.47359406366</v>
      </c>
      <c r="L22" s="111">
        <v>4</v>
      </c>
      <c r="M22" s="96">
        <v>43466</v>
      </c>
      <c r="N22" s="97" t="s">
        <v>147</v>
      </c>
      <c r="O22" s="56">
        <f t="shared" si="0"/>
        <v>40963.507005603809</v>
      </c>
      <c r="P22" s="56">
        <f t="shared" si="1"/>
        <v>206945.49188252812</v>
      </c>
    </row>
    <row r="23" spans="2:16" x14ac:dyDescent="0.25">
      <c r="L23" s="111">
        <v>5</v>
      </c>
      <c r="M23" s="96">
        <v>43831</v>
      </c>
      <c r="N23" s="97" t="s">
        <v>148</v>
      </c>
      <c r="O23" s="56">
        <f t="shared" si="0"/>
        <v>40963.507005603809</v>
      </c>
      <c r="P23" s="56">
        <f t="shared" si="1"/>
        <v>258256.27348225834</v>
      </c>
    </row>
    <row r="24" spans="2:16" x14ac:dyDescent="0.25">
      <c r="C24" t="s">
        <v>115</v>
      </c>
      <c r="D24" t="s">
        <v>203</v>
      </c>
      <c r="H24" s="100">
        <f>H22-25000</f>
        <v>620231.47359406366</v>
      </c>
      <c r="L24" s="111">
        <v>6</v>
      </c>
      <c r="M24" s="96">
        <v>44197</v>
      </c>
      <c r="N24" s="97" t="s">
        <v>149</v>
      </c>
      <c r="O24" s="56">
        <f t="shared" si="0"/>
        <v>40963.507005603809</v>
      </c>
      <c r="P24" s="56">
        <f t="shared" si="1"/>
        <v>312132.59416197508</v>
      </c>
    </row>
    <row r="25" spans="2:16" x14ac:dyDescent="0.25">
      <c r="L25" s="111">
        <v>7</v>
      </c>
      <c r="M25" s="96">
        <v>44562</v>
      </c>
      <c r="N25" s="97" t="s">
        <v>150</v>
      </c>
      <c r="O25" s="56">
        <f t="shared" si="0"/>
        <v>40963.507005603809</v>
      </c>
      <c r="P25" s="56">
        <f t="shared" si="1"/>
        <v>368702.73087567766</v>
      </c>
    </row>
    <row r="26" spans="2:16" x14ac:dyDescent="0.25">
      <c r="C26" s="58" t="s">
        <v>115</v>
      </c>
      <c r="D26" t="s">
        <v>246</v>
      </c>
      <c r="H26" s="56">
        <f>PMT(H16,29,-H24,0)</f>
        <v>40963.507005603809</v>
      </c>
      <c r="I26" s="58" t="s">
        <v>116</v>
      </c>
      <c r="L26" s="111">
        <v>8</v>
      </c>
      <c r="M26" s="96">
        <v>44927</v>
      </c>
      <c r="N26" s="97" t="s">
        <v>151</v>
      </c>
      <c r="O26" s="56">
        <f t="shared" si="0"/>
        <v>40963.507005603809</v>
      </c>
      <c r="P26" s="56">
        <f t="shared" si="1"/>
        <v>428101.37442506535</v>
      </c>
    </row>
    <row r="27" spans="2:16" x14ac:dyDescent="0.25">
      <c r="D27" t="s">
        <v>204</v>
      </c>
      <c r="L27" s="111">
        <v>9</v>
      </c>
      <c r="M27" s="96">
        <v>45292</v>
      </c>
      <c r="N27" s="97" t="s">
        <v>152</v>
      </c>
      <c r="O27" s="56">
        <f t="shared" si="0"/>
        <v>40963.507005603809</v>
      </c>
      <c r="P27" s="56">
        <f t="shared" si="1"/>
        <v>490469.95015192247</v>
      </c>
    </row>
    <row r="28" spans="2:16" x14ac:dyDescent="0.25">
      <c r="L28" s="111">
        <v>10</v>
      </c>
      <c r="M28" s="96">
        <v>45658</v>
      </c>
      <c r="N28" s="97" t="s">
        <v>153</v>
      </c>
      <c r="O28" s="56">
        <f t="shared" si="0"/>
        <v>40963.507005603809</v>
      </c>
      <c r="P28" s="56">
        <f t="shared" si="1"/>
        <v>555956.95466512244</v>
      </c>
    </row>
    <row r="29" spans="2:16" x14ac:dyDescent="0.25">
      <c r="L29" s="111">
        <v>11</v>
      </c>
      <c r="M29" s="96">
        <v>46023</v>
      </c>
      <c r="N29" s="97" t="s">
        <v>154</v>
      </c>
      <c r="O29" s="56">
        <f t="shared" si="0"/>
        <v>40963.507005603809</v>
      </c>
      <c r="P29" s="56">
        <f t="shared" si="1"/>
        <v>624718.30940398248</v>
      </c>
    </row>
    <row r="30" spans="2:16" x14ac:dyDescent="0.25">
      <c r="L30" s="111">
        <v>12</v>
      </c>
      <c r="M30" s="96">
        <v>46388</v>
      </c>
      <c r="N30" s="97" t="s">
        <v>155</v>
      </c>
      <c r="O30" s="56">
        <f t="shared" si="0"/>
        <v>40963.507005603809</v>
      </c>
      <c r="P30" s="56">
        <f t="shared" si="1"/>
        <v>696917.73187978542</v>
      </c>
    </row>
    <row r="31" spans="2:16" x14ac:dyDescent="0.25">
      <c r="L31" s="111">
        <v>13</v>
      </c>
      <c r="M31" s="96">
        <v>46753</v>
      </c>
      <c r="N31" s="97" t="s">
        <v>156</v>
      </c>
      <c r="O31" s="56">
        <f t="shared" si="0"/>
        <v>40963.507005603809</v>
      </c>
      <c r="P31" s="56">
        <f t="shared" si="1"/>
        <v>772727.1254793785</v>
      </c>
    </row>
    <row r="32" spans="2:16" x14ac:dyDescent="0.25">
      <c r="L32" s="111">
        <v>14</v>
      </c>
      <c r="M32" s="96">
        <v>47119</v>
      </c>
      <c r="N32" s="97" t="s">
        <v>157</v>
      </c>
      <c r="O32" s="56">
        <f t="shared" si="0"/>
        <v>40963.507005603809</v>
      </c>
      <c r="P32" s="56">
        <f t="shared" si="1"/>
        <v>852326.98875895119</v>
      </c>
    </row>
    <row r="33" spans="12:16" x14ac:dyDescent="0.25">
      <c r="L33" s="111">
        <v>15</v>
      </c>
      <c r="M33" s="96">
        <v>47484</v>
      </c>
      <c r="N33" s="97" t="s">
        <v>158</v>
      </c>
      <c r="O33" s="56">
        <f t="shared" si="0"/>
        <v>40963.507005603809</v>
      </c>
      <c r="P33" s="56">
        <f t="shared" si="1"/>
        <v>935906.84520250256</v>
      </c>
    </row>
    <row r="34" spans="12:16" x14ac:dyDescent="0.25">
      <c r="L34" s="111">
        <v>16</v>
      </c>
      <c r="M34" s="96">
        <v>47849</v>
      </c>
      <c r="N34" s="97" t="s">
        <v>159</v>
      </c>
      <c r="O34" s="56">
        <f t="shared" si="0"/>
        <v>40963.507005603809</v>
      </c>
      <c r="P34" s="56">
        <f t="shared" si="1"/>
        <v>1023665.6944682316</v>
      </c>
    </row>
    <row r="35" spans="12:16" x14ac:dyDescent="0.25">
      <c r="L35" s="111">
        <v>17</v>
      </c>
      <c r="M35" s="96">
        <v>48214</v>
      </c>
      <c r="N35" s="97" t="s">
        <v>160</v>
      </c>
      <c r="O35" s="56">
        <f t="shared" si="0"/>
        <v>40963.507005603809</v>
      </c>
      <c r="P35" s="56">
        <f t="shared" si="1"/>
        <v>1115812.4861972469</v>
      </c>
    </row>
    <row r="36" spans="12:16" x14ac:dyDescent="0.25">
      <c r="L36" s="111">
        <v>18</v>
      </c>
      <c r="M36" s="96">
        <v>48580</v>
      </c>
      <c r="N36" s="97" t="s">
        <v>161</v>
      </c>
      <c r="O36" s="56">
        <f t="shared" si="0"/>
        <v>40963.507005603809</v>
      </c>
      <c r="P36" s="56">
        <f t="shared" si="1"/>
        <v>1212566.6175127132</v>
      </c>
    </row>
    <row r="37" spans="12:16" x14ac:dyDescent="0.25">
      <c r="L37" s="111">
        <v>19</v>
      </c>
      <c r="M37" s="96">
        <v>48945</v>
      </c>
      <c r="N37" s="97" t="s">
        <v>162</v>
      </c>
      <c r="O37" s="56">
        <f t="shared" si="0"/>
        <v>40963.507005603809</v>
      </c>
      <c r="P37" s="56">
        <f t="shared" si="1"/>
        <v>1314158.4553939526</v>
      </c>
    </row>
    <row r="38" spans="12:16" x14ac:dyDescent="0.25">
      <c r="L38" s="111">
        <v>20</v>
      </c>
      <c r="M38" s="96">
        <v>49310</v>
      </c>
      <c r="N38" s="97" t="s">
        <v>163</v>
      </c>
      <c r="O38" s="56">
        <f t="shared" si="0"/>
        <v>40963.507005603809</v>
      </c>
      <c r="P38" s="56">
        <f t="shared" si="1"/>
        <v>1420829.8851692539</v>
      </c>
    </row>
    <row r="39" spans="12:16" x14ac:dyDescent="0.25">
      <c r="L39" s="111">
        <v>21</v>
      </c>
      <c r="M39" s="96">
        <v>49675</v>
      </c>
      <c r="N39" s="97" t="s">
        <v>164</v>
      </c>
      <c r="O39" s="56">
        <f t="shared" si="0"/>
        <v>40963.507005603809</v>
      </c>
      <c r="P39" s="56">
        <f t="shared" si="1"/>
        <v>1532834.8864333204</v>
      </c>
    </row>
    <row r="40" spans="12:16" x14ac:dyDescent="0.25">
      <c r="L40" s="111">
        <v>22</v>
      </c>
      <c r="M40" s="96">
        <v>50041</v>
      </c>
      <c r="N40" s="97" t="s">
        <v>165</v>
      </c>
      <c r="O40" s="56">
        <f t="shared" si="0"/>
        <v>40963.507005603809</v>
      </c>
      <c r="P40" s="56">
        <f t="shared" si="1"/>
        <v>1650440.1377605903</v>
      </c>
    </row>
    <row r="41" spans="12:16" x14ac:dyDescent="0.25">
      <c r="L41" s="111">
        <v>23</v>
      </c>
      <c r="M41" s="96">
        <v>50406</v>
      </c>
      <c r="N41" s="97" t="s">
        <v>166</v>
      </c>
      <c r="O41" s="56">
        <f t="shared" si="0"/>
        <v>40963.507005603809</v>
      </c>
      <c r="P41" s="56">
        <f t="shared" si="1"/>
        <v>1773925.6516542237</v>
      </c>
    </row>
    <row r="42" spans="12:16" x14ac:dyDescent="0.25">
      <c r="L42" s="111">
        <v>24</v>
      </c>
      <c r="M42" s="96">
        <v>50771</v>
      </c>
      <c r="N42" s="97" t="s">
        <v>167</v>
      </c>
      <c r="O42" s="56">
        <f t="shared" si="0"/>
        <v>40963.507005603809</v>
      </c>
      <c r="P42" s="56">
        <f t="shared" si="1"/>
        <v>1903585.4412425386</v>
      </c>
    </row>
    <row r="43" spans="12:16" x14ac:dyDescent="0.25">
      <c r="L43" s="111">
        <v>25</v>
      </c>
      <c r="M43" s="96">
        <v>51136</v>
      </c>
      <c r="N43" s="97" t="s">
        <v>168</v>
      </c>
      <c r="O43" s="56">
        <f t="shared" si="0"/>
        <v>40963.507005603809</v>
      </c>
      <c r="P43" s="56">
        <f t="shared" si="1"/>
        <v>2039728.2203102694</v>
      </c>
    </row>
    <row r="44" spans="12:16" x14ac:dyDescent="0.25">
      <c r="L44" s="111">
        <v>26</v>
      </c>
      <c r="M44" s="96">
        <v>51502</v>
      </c>
      <c r="N44" s="97" t="s">
        <v>169</v>
      </c>
      <c r="O44" s="56">
        <f t="shared" si="0"/>
        <v>40963.507005603809</v>
      </c>
      <c r="P44" s="56">
        <f t="shared" si="1"/>
        <v>2182678.1383313867</v>
      </c>
    </row>
    <row r="45" spans="12:16" x14ac:dyDescent="0.25">
      <c r="L45" s="111">
        <v>27</v>
      </c>
      <c r="M45" s="96">
        <v>51867</v>
      </c>
      <c r="N45" s="97" t="s">
        <v>170</v>
      </c>
      <c r="O45" s="56">
        <f t="shared" si="0"/>
        <v>40963.507005603809</v>
      </c>
      <c r="P45" s="56">
        <f t="shared" si="1"/>
        <v>2332775.5522535602</v>
      </c>
    </row>
    <row r="46" spans="12:16" x14ac:dyDescent="0.25">
      <c r="L46" s="111">
        <v>28</v>
      </c>
      <c r="M46" s="96">
        <v>52232</v>
      </c>
      <c r="N46" s="97" t="s">
        <v>171</v>
      </c>
      <c r="O46" s="56">
        <f t="shared" si="0"/>
        <v>40963.507005603809</v>
      </c>
      <c r="P46" s="56">
        <f t="shared" si="1"/>
        <v>2490377.8368718424</v>
      </c>
    </row>
    <row r="47" spans="12:16" x14ac:dyDescent="0.25">
      <c r="L47" s="111">
        <v>29</v>
      </c>
      <c r="M47" s="96">
        <v>52597</v>
      </c>
      <c r="N47" s="97" t="s">
        <v>172</v>
      </c>
      <c r="O47" s="56">
        <f t="shared" si="0"/>
        <v>40963.507005603809</v>
      </c>
      <c r="P47" s="56">
        <f t="shared" si="1"/>
        <v>2655860.2357210387</v>
      </c>
    </row>
    <row r="48" spans="12:16" x14ac:dyDescent="0.25">
      <c r="L48" s="111">
        <v>30</v>
      </c>
      <c r="M48" s="96">
        <v>52963</v>
      </c>
      <c r="N48" s="97" t="s">
        <v>198</v>
      </c>
      <c r="O48" s="120">
        <v>0</v>
      </c>
      <c r="P48" s="56">
        <f t="shared" si="1"/>
        <v>2788653.2475070907</v>
      </c>
    </row>
    <row r="49" spans="8:16" x14ac:dyDescent="0.25">
      <c r="L49" s="111">
        <v>31</v>
      </c>
      <c r="M49" s="96">
        <v>53328</v>
      </c>
      <c r="N49" s="97" t="s">
        <v>198</v>
      </c>
      <c r="O49" s="120">
        <v>0</v>
      </c>
      <c r="P49" s="107">
        <f t="shared" si="1"/>
        <v>2928085.9098824454</v>
      </c>
    </row>
    <row r="50" spans="8:16" x14ac:dyDescent="0.25">
      <c r="L50" s="111">
        <v>32</v>
      </c>
      <c r="M50" s="96">
        <v>53693</v>
      </c>
      <c r="N50" s="97" t="s">
        <v>198</v>
      </c>
      <c r="O50" s="120">
        <v>0</v>
      </c>
      <c r="P50" s="107">
        <f t="shared" si="1"/>
        <v>3074490.2053765678</v>
      </c>
    </row>
    <row r="51" spans="8:16" x14ac:dyDescent="0.25">
      <c r="L51" s="111">
        <v>33</v>
      </c>
      <c r="M51" s="96">
        <v>54058</v>
      </c>
      <c r="N51" s="97" t="s">
        <v>173</v>
      </c>
      <c r="O51" s="99">
        <v>-200000</v>
      </c>
      <c r="P51" s="107">
        <f t="shared" si="1"/>
        <v>3028214.7156453962</v>
      </c>
    </row>
    <row r="52" spans="8:16" x14ac:dyDescent="0.25">
      <c r="L52" s="111">
        <v>34</v>
      </c>
      <c r="M52" s="96">
        <v>54424</v>
      </c>
      <c r="N52" s="97" t="s">
        <v>174</v>
      </c>
      <c r="O52" s="120">
        <v>-200000</v>
      </c>
      <c r="P52" s="107">
        <f t="shared" si="1"/>
        <v>2979625.451427666</v>
      </c>
    </row>
    <row r="53" spans="8:16" x14ac:dyDescent="0.25">
      <c r="L53" s="111">
        <v>35</v>
      </c>
      <c r="M53" s="96">
        <v>54789</v>
      </c>
      <c r="N53" s="97" t="s">
        <v>175</v>
      </c>
      <c r="O53" s="120">
        <v>-200000</v>
      </c>
      <c r="P53" s="107">
        <f t="shared" si="1"/>
        <v>2928606.7239990495</v>
      </c>
    </row>
    <row r="54" spans="8:16" x14ac:dyDescent="0.25">
      <c r="L54" s="111">
        <v>36</v>
      </c>
      <c r="M54" s="96">
        <v>55154</v>
      </c>
      <c r="N54" s="97" t="s">
        <v>176</v>
      </c>
      <c r="O54" s="120">
        <v>-200000</v>
      </c>
      <c r="P54" s="107">
        <f t="shared" si="1"/>
        <v>2875037.0601990023</v>
      </c>
    </row>
    <row r="55" spans="8:16" x14ac:dyDescent="0.25">
      <c r="H55" s="107"/>
      <c r="L55" s="120">
        <v>37</v>
      </c>
      <c r="M55" s="96">
        <v>55519</v>
      </c>
      <c r="N55" s="97" t="s">
        <v>177</v>
      </c>
      <c r="O55" s="120">
        <v>-200000</v>
      </c>
      <c r="P55" s="107">
        <f t="shared" si="1"/>
        <v>2818788.9132089526</v>
      </c>
    </row>
    <row r="56" spans="8:16" x14ac:dyDescent="0.25">
      <c r="L56" s="120">
        <v>38</v>
      </c>
      <c r="M56" s="96">
        <v>55885</v>
      </c>
      <c r="N56" s="97" t="s">
        <v>178</v>
      </c>
      <c r="O56" s="120">
        <v>-200000</v>
      </c>
      <c r="P56" s="107">
        <f t="shared" si="1"/>
        <v>2759728.3588694003</v>
      </c>
    </row>
    <row r="57" spans="8:16" x14ac:dyDescent="0.25">
      <c r="L57" s="120">
        <v>39</v>
      </c>
      <c r="M57" s="96">
        <v>56250</v>
      </c>
      <c r="N57" s="97" t="s">
        <v>179</v>
      </c>
      <c r="O57" s="120">
        <v>-200000</v>
      </c>
      <c r="P57" s="107">
        <f t="shared" si="1"/>
        <v>2697714.7768128705</v>
      </c>
    </row>
    <row r="58" spans="8:16" x14ac:dyDescent="0.25">
      <c r="L58" s="120">
        <v>40</v>
      </c>
      <c r="M58" s="96">
        <v>56615</v>
      </c>
      <c r="N58" s="97" t="s">
        <v>180</v>
      </c>
      <c r="O58" s="120">
        <v>-200000</v>
      </c>
      <c r="P58" s="107">
        <f t="shared" si="1"/>
        <v>2632600.5156535143</v>
      </c>
    </row>
    <row r="59" spans="8:16" x14ac:dyDescent="0.25">
      <c r="L59" s="120">
        <v>41</v>
      </c>
      <c r="M59" s="96">
        <v>56980</v>
      </c>
      <c r="N59" s="97" t="s">
        <v>181</v>
      </c>
      <c r="O59" s="120">
        <v>-200000</v>
      </c>
      <c r="P59" s="107">
        <f t="shared" si="1"/>
        <v>2564230.5414361903</v>
      </c>
    </row>
    <row r="60" spans="8:16" x14ac:dyDescent="0.25">
      <c r="L60" s="120">
        <v>42</v>
      </c>
      <c r="M60" s="96">
        <v>57346</v>
      </c>
      <c r="N60" s="97" t="s">
        <v>182</v>
      </c>
      <c r="O60" s="120">
        <v>-200000</v>
      </c>
      <c r="P60" s="107">
        <f t="shared" si="1"/>
        <v>2492442.0685079996</v>
      </c>
    </row>
    <row r="61" spans="8:16" x14ac:dyDescent="0.25">
      <c r="L61" s="120">
        <v>43</v>
      </c>
      <c r="M61" s="96">
        <v>57711</v>
      </c>
      <c r="N61" s="97" t="s">
        <v>183</v>
      </c>
      <c r="O61" s="120">
        <v>-200000</v>
      </c>
      <c r="P61" s="107">
        <f t="shared" si="1"/>
        <v>2417064.1719333995</v>
      </c>
    </row>
    <row r="62" spans="8:16" x14ac:dyDescent="0.25">
      <c r="L62" s="120">
        <v>44</v>
      </c>
      <c r="M62" s="96">
        <v>58076</v>
      </c>
      <c r="N62" s="97" t="s">
        <v>184</v>
      </c>
      <c r="O62" s="120">
        <v>-200000</v>
      </c>
      <c r="P62" s="107">
        <f t="shared" si="1"/>
        <v>2337917.3805300696</v>
      </c>
    </row>
    <row r="63" spans="8:16" x14ac:dyDescent="0.25">
      <c r="L63" s="120">
        <v>45</v>
      </c>
      <c r="M63" s="96">
        <v>58441</v>
      </c>
      <c r="N63" s="97" t="s">
        <v>185</v>
      </c>
      <c r="O63" s="120">
        <v>-200000</v>
      </c>
      <c r="P63" s="107">
        <f t="shared" si="1"/>
        <v>2254813.2495565731</v>
      </c>
    </row>
    <row r="64" spans="8:16" x14ac:dyDescent="0.25">
      <c r="L64" s="120">
        <v>46</v>
      </c>
      <c r="M64" s="96">
        <v>58807</v>
      </c>
      <c r="N64" s="97" t="s">
        <v>186</v>
      </c>
      <c r="O64" s="120">
        <v>-200000</v>
      </c>
      <c r="P64" s="107">
        <f t="shared" si="1"/>
        <v>2167553.9120344017</v>
      </c>
    </row>
    <row r="65" spans="12:16" x14ac:dyDescent="0.25">
      <c r="L65" s="120">
        <v>47</v>
      </c>
      <c r="M65" s="96">
        <v>59172</v>
      </c>
      <c r="N65" s="97" t="s">
        <v>187</v>
      </c>
      <c r="O65" s="120">
        <v>-200000</v>
      </c>
      <c r="P65" s="107">
        <f t="shared" si="1"/>
        <v>2075931.607636122</v>
      </c>
    </row>
    <row r="66" spans="12:16" x14ac:dyDescent="0.25">
      <c r="L66" s="120">
        <v>48</v>
      </c>
      <c r="M66" s="96">
        <v>59537</v>
      </c>
      <c r="N66" s="97" t="s">
        <v>188</v>
      </c>
      <c r="O66" s="120">
        <v>-200000</v>
      </c>
      <c r="P66" s="107">
        <f t="shared" si="1"/>
        <v>1979728.188017928</v>
      </c>
    </row>
    <row r="67" spans="12:16" x14ac:dyDescent="0.25">
      <c r="L67" s="120">
        <v>49</v>
      </c>
      <c r="M67" s="96">
        <v>59902</v>
      </c>
      <c r="N67" s="97" t="s">
        <v>189</v>
      </c>
      <c r="O67" s="120">
        <v>-200000</v>
      </c>
      <c r="P67" s="107">
        <f t="shared" si="1"/>
        <v>1878714.5974188244</v>
      </c>
    </row>
    <row r="68" spans="12:16" x14ac:dyDescent="0.25">
      <c r="L68" s="120">
        <v>50</v>
      </c>
      <c r="M68" s="96">
        <v>60268</v>
      </c>
      <c r="N68" s="97" t="s">
        <v>190</v>
      </c>
      <c r="O68" s="120">
        <v>-200000</v>
      </c>
      <c r="P68" s="107">
        <f t="shared" si="1"/>
        <v>1772650.3272897657</v>
      </c>
    </row>
    <row r="69" spans="12:16" x14ac:dyDescent="0.25">
      <c r="L69" s="120">
        <v>51</v>
      </c>
      <c r="M69" s="96">
        <v>60633</v>
      </c>
      <c r="N69" s="97" t="s">
        <v>191</v>
      </c>
      <c r="O69" s="120">
        <v>-200000</v>
      </c>
      <c r="P69" s="107">
        <f t="shared" si="1"/>
        <v>1661282.843654254</v>
      </c>
    </row>
    <row r="70" spans="12:16" x14ac:dyDescent="0.25">
      <c r="L70" s="120">
        <v>52</v>
      </c>
      <c r="M70" s="96">
        <v>60998</v>
      </c>
      <c r="N70" s="97" t="s">
        <v>192</v>
      </c>
      <c r="O70" s="120">
        <v>-200000</v>
      </c>
      <c r="P70" s="107">
        <f t="shared" si="1"/>
        <v>1544346.9858369667</v>
      </c>
    </row>
    <row r="71" spans="12:16" x14ac:dyDescent="0.25">
      <c r="L71" s="120">
        <v>53</v>
      </c>
      <c r="M71" s="96">
        <v>61363</v>
      </c>
      <c r="N71" s="97" t="s">
        <v>205</v>
      </c>
      <c r="O71" s="120">
        <v>-200000</v>
      </c>
      <c r="P71" s="107">
        <f t="shared" si="1"/>
        <v>1421564.3351288151</v>
      </c>
    </row>
    <row r="72" spans="12:16" x14ac:dyDescent="0.25">
      <c r="L72" s="120">
        <v>54</v>
      </c>
      <c r="M72" s="96">
        <v>61729</v>
      </c>
      <c r="N72" s="97" t="s">
        <v>206</v>
      </c>
      <c r="O72" s="120">
        <v>-200000</v>
      </c>
      <c r="P72" s="107">
        <f t="shared" si="1"/>
        <v>1292642.5518852561</v>
      </c>
    </row>
    <row r="73" spans="12:16" x14ac:dyDescent="0.25">
      <c r="L73" s="120">
        <v>55</v>
      </c>
      <c r="M73" s="96">
        <v>62094</v>
      </c>
      <c r="N73" s="97" t="s">
        <v>207</v>
      </c>
      <c r="O73" s="120">
        <v>-200000</v>
      </c>
      <c r="P73" s="107">
        <f t="shared" si="1"/>
        <v>1157274.6794795189</v>
      </c>
    </row>
    <row r="74" spans="12:16" x14ac:dyDescent="0.25">
      <c r="L74" s="120">
        <v>56</v>
      </c>
      <c r="M74" s="96">
        <v>62459</v>
      </c>
      <c r="N74" s="97" t="s">
        <v>208</v>
      </c>
      <c r="O74" s="120">
        <v>-200000</v>
      </c>
      <c r="P74" s="107">
        <f t="shared" si="1"/>
        <v>1015138.4134534949</v>
      </c>
    </row>
    <row r="75" spans="12:16" x14ac:dyDescent="0.25">
      <c r="L75" s="120">
        <v>57</v>
      </c>
      <c r="M75" s="96">
        <v>62824</v>
      </c>
      <c r="N75" s="97" t="s">
        <v>209</v>
      </c>
      <c r="O75" s="120">
        <v>-200000</v>
      </c>
      <c r="P75" s="107">
        <f t="shared" si="1"/>
        <v>865895.33412616979</v>
      </c>
    </row>
    <row r="76" spans="12:16" x14ac:dyDescent="0.25">
      <c r="L76" s="120">
        <v>58</v>
      </c>
      <c r="M76" s="96">
        <v>63190</v>
      </c>
      <c r="N76" s="97" t="s">
        <v>266</v>
      </c>
      <c r="O76" s="120">
        <v>-200000</v>
      </c>
      <c r="P76" s="107">
        <f t="shared" si="1"/>
        <v>709190.10083247838</v>
      </c>
    </row>
    <row r="77" spans="12:16" x14ac:dyDescent="0.25">
      <c r="L77" s="120">
        <v>59</v>
      </c>
      <c r="M77" s="96">
        <v>63555</v>
      </c>
      <c r="N77" s="97" t="s">
        <v>267</v>
      </c>
      <c r="O77" s="120">
        <v>-200000</v>
      </c>
      <c r="P77" s="107">
        <f t="shared" si="1"/>
        <v>544649.60587410233</v>
      </c>
    </row>
    <row r="78" spans="12:16" x14ac:dyDescent="0.25">
      <c r="L78" s="120">
        <v>60</v>
      </c>
      <c r="M78" s="96">
        <v>63920</v>
      </c>
      <c r="N78" s="97" t="s">
        <v>268</v>
      </c>
      <c r="O78" s="120">
        <v>-200000</v>
      </c>
      <c r="P78" s="107">
        <f t="shared" si="1"/>
        <v>371882.08616780746</v>
      </c>
    </row>
    <row r="79" spans="12:16" x14ac:dyDescent="0.25">
      <c r="L79" s="120">
        <v>61</v>
      </c>
      <c r="M79" s="96">
        <v>64285</v>
      </c>
      <c r="N79" s="97" t="s">
        <v>269</v>
      </c>
      <c r="O79" s="120">
        <v>-200000</v>
      </c>
      <c r="P79" s="107">
        <f t="shared" si="1"/>
        <v>190476.19047619787</v>
      </c>
    </row>
    <row r="80" spans="12:16" x14ac:dyDescent="0.25">
      <c r="L80" s="120">
        <v>62</v>
      </c>
      <c r="M80" s="96">
        <v>64651</v>
      </c>
      <c r="N80" s="97" t="s">
        <v>270</v>
      </c>
      <c r="O80" s="120">
        <v>-200000</v>
      </c>
      <c r="P80" s="107">
        <f t="shared" si="1"/>
        <v>7.7707227319478989E-9</v>
      </c>
    </row>
    <row r="81" spans="13:16" x14ac:dyDescent="0.25">
      <c r="M81" s="96"/>
      <c r="O81" s="107"/>
      <c r="P81" s="107"/>
    </row>
    <row r="82" spans="13:16" x14ac:dyDescent="0.25">
      <c r="M82" s="96"/>
      <c r="O82" s="107"/>
      <c r="P82" s="107"/>
    </row>
    <row r="83" spans="13:16" x14ac:dyDescent="0.25">
      <c r="M83" s="96"/>
      <c r="O83" s="107"/>
      <c r="P83" s="107"/>
    </row>
    <row r="84" spans="13:16" x14ac:dyDescent="0.25">
      <c r="M84" s="96"/>
      <c r="O84" s="107"/>
      <c r="P84" s="107"/>
    </row>
    <row r="85" spans="13:16" x14ac:dyDescent="0.25">
      <c r="M85" s="96"/>
      <c r="O85" s="107"/>
      <c r="P85" s="107"/>
    </row>
  </sheetData>
  <mergeCells count="1">
    <mergeCell ref="B18:K18"/>
  </mergeCells>
  <pageMargins left="0.7" right="0.7" top="0.75" bottom="0.75" header="0.3" footer="0.3"/>
  <pageSetup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0"/>
  <sheetViews>
    <sheetView topLeftCell="A4" zoomScale="145" zoomScaleNormal="145" workbookViewId="0">
      <selection activeCell="F20" sqref="F20"/>
    </sheetView>
  </sheetViews>
  <sheetFormatPr defaultRowHeight="15" x14ac:dyDescent="0.25"/>
  <cols>
    <col min="1" max="1" width="4.28515625" style="120" customWidth="1"/>
    <col min="2" max="5" width="9.140625" style="120"/>
    <col min="6" max="6" width="13.28515625" style="120" bestFit="1" customWidth="1"/>
    <col min="7" max="7" width="12" style="120" customWidth="1"/>
    <col min="8" max="8" width="12.140625" style="120" customWidth="1"/>
    <col min="9" max="9" width="14.140625" style="120" customWidth="1"/>
    <col min="10" max="16384" width="9.140625" style="120"/>
  </cols>
  <sheetData>
    <row r="2" spans="2:11" x14ac:dyDescent="0.25">
      <c r="B2" s="112" t="s">
        <v>228</v>
      </c>
    </row>
    <row r="4" spans="2:11" x14ac:dyDescent="0.25">
      <c r="B4" s="112" t="s">
        <v>61</v>
      </c>
    </row>
    <row r="5" spans="2:11" s="112" customFormat="1" x14ac:dyDescent="0.25">
      <c r="B5" s="7" t="s">
        <v>8</v>
      </c>
      <c r="F5" s="122">
        <v>150000</v>
      </c>
    </row>
    <row r="6" spans="2:11" s="112" customFormat="1" x14ac:dyDescent="0.25">
      <c r="B6" s="7" t="s">
        <v>229</v>
      </c>
      <c r="F6" s="123">
        <v>4</v>
      </c>
    </row>
    <row r="7" spans="2:11" s="112" customFormat="1" x14ac:dyDescent="0.25">
      <c r="B7" s="7" t="s">
        <v>9</v>
      </c>
      <c r="F7" s="124">
        <v>5.2499999999999998E-2</v>
      </c>
    </row>
    <row r="8" spans="2:11" s="112" customFormat="1" x14ac:dyDescent="0.25">
      <c r="B8" s="7"/>
      <c r="F8" s="125"/>
    </row>
    <row r="9" spans="2:11" s="112" customFormat="1" x14ac:dyDescent="0.25">
      <c r="B9" s="7" t="s">
        <v>230</v>
      </c>
      <c r="F9" s="126">
        <v>12</v>
      </c>
    </row>
    <row r="10" spans="2:11" s="112" customFormat="1" x14ac:dyDescent="0.25">
      <c r="B10" s="7"/>
    </row>
    <row r="11" spans="2:11" x14ac:dyDescent="0.25">
      <c r="B11" s="127" t="s">
        <v>231</v>
      </c>
    </row>
    <row r="12" spans="2:11" x14ac:dyDescent="0.25">
      <c r="B12" s="127" t="s">
        <v>232</v>
      </c>
    </row>
    <row r="13" spans="2:11" x14ac:dyDescent="0.25">
      <c r="B13" s="127" t="s">
        <v>233</v>
      </c>
    </row>
    <row r="14" spans="2:11" x14ac:dyDescent="0.25">
      <c r="B14" s="127" t="s">
        <v>234</v>
      </c>
    </row>
    <row r="15" spans="2:11" ht="15.75" thickBot="1" x14ac:dyDescent="0.3"/>
    <row r="16" spans="2:11" ht="15.75" thickBot="1" x14ac:dyDescent="0.3">
      <c r="B16" s="144" t="s">
        <v>235</v>
      </c>
      <c r="C16" s="144"/>
      <c r="D16" s="144"/>
      <c r="E16" s="144"/>
      <c r="F16" s="144"/>
      <c r="G16" s="144"/>
      <c r="H16" s="144"/>
      <c r="I16" s="144"/>
      <c r="J16" s="144"/>
      <c r="K16" s="144"/>
    </row>
    <row r="18" spans="2:11" x14ac:dyDescent="0.25">
      <c r="B18" s="128" t="s">
        <v>236</v>
      </c>
    </row>
    <row r="19" spans="2:11" ht="15.75" thickBot="1" x14ac:dyDescent="0.3"/>
    <row r="20" spans="2:11" ht="15.75" thickBot="1" x14ac:dyDescent="0.3">
      <c r="C20" s="112" t="s">
        <v>237</v>
      </c>
      <c r="I20" s="51">
        <f>PMT(F7/12,F6*12,-F5)</f>
        <v>3471.4069126529366</v>
      </c>
    </row>
    <row r="21" spans="2:11" ht="15.75" thickBot="1" x14ac:dyDescent="0.3">
      <c r="C21" s="112" t="s">
        <v>238</v>
      </c>
      <c r="I21" s="51">
        <f>I28</f>
        <v>517.76772126599951</v>
      </c>
    </row>
    <row r="22" spans="2:11" ht="15.75" thickBot="1" x14ac:dyDescent="0.3">
      <c r="C22" s="112" t="s">
        <v>239</v>
      </c>
      <c r="I22" s="51">
        <f t="shared" ref="I22:I23" si="0">I29</f>
        <v>2953.639191386937</v>
      </c>
    </row>
    <row r="23" spans="2:11" ht="15.75" thickBot="1" x14ac:dyDescent="0.3">
      <c r="C23" s="112" t="s">
        <v>240</v>
      </c>
      <c r="I23" s="51">
        <f t="shared" si="0"/>
        <v>115393.26852655582</v>
      </c>
    </row>
    <row r="24" spans="2:11" ht="15.75" thickBot="1" x14ac:dyDescent="0.3"/>
    <row r="25" spans="2:11" ht="15.75" thickBot="1" x14ac:dyDescent="0.3">
      <c r="B25" s="144" t="s">
        <v>112</v>
      </c>
      <c r="C25" s="144"/>
      <c r="D25" s="144"/>
      <c r="E25" s="144"/>
      <c r="F25" s="144"/>
      <c r="G25" s="144"/>
      <c r="H25" s="144"/>
      <c r="I25" s="144"/>
      <c r="J25" s="144"/>
      <c r="K25" s="144"/>
    </row>
    <row r="27" spans="2:11" x14ac:dyDescent="0.25">
      <c r="C27" s="120" t="s">
        <v>241</v>
      </c>
      <c r="I27" s="107">
        <f>PV(F7/12,F6*12-F9+1,-I20)</f>
        <v>118346.90771794275</v>
      </c>
    </row>
    <row r="28" spans="2:11" x14ac:dyDescent="0.25">
      <c r="C28" s="120" t="s">
        <v>242</v>
      </c>
      <c r="I28" s="107">
        <f>I27*F7/12</f>
        <v>517.76772126599951</v>
      </c>
    </row>
    <row r="29" spans="2:11" x14ac:dyDescent="0.25">
      <c r="C29" s="120" t="s">
        <v>243</v>
      </c>
      <c r="I29" s="107">
        <f>I20-I28</f>
        <v>2953.639191386937</v>
      </c>
    </row>
    <row r="30" spans="2:11" x14ac:dyDescent="0.25">
      <c r="C30" s="120" t="s">
        <v>244</v>
      </c>
      <c r="I30" s="107">
        <f>I27-I29</f>
        <v>115393.26852655582</v>
      </c>
    </row>
  </sheetData>
  <mergeCells count="2">
    <mergeCell ref="B16:K16"/>
    <mergeCell ref="B25:K2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104"/>
  <sheetViews>
    <sheetView zoomScale="115" zoomScaleNormal="115" workbookViewId="0">
      <selection activeCell="L117" sqref="L117"/>
    </sheetView>
  </sheetViews>
  <sheetFormatPr defaultRowHeight="15" x14ac:dyDescent="0.25"/>
  <cols>
    <col min="1" max="1" width="3.5703125" customWidth="1"/>
    <col min="2" max="2" width="5" customWidth="1"/>
    <col min="3" max="3" width="12.5703125" customWidth="1"/>
    <col min="4" max="4" width="16" customWidth="1"/>
    <col min="5" max="5" width="13.7109375" customWidth="1"/>
    <col min="6" max="6" width="10.28515625" customWidth="1"/>
    <col min="7" max="7" width="11.5703125" customWidth="1"/>
    <col min="8" max="8" width="12.28515625" bestFit="1" customWidth="1"/>
    <col min="10" max="14" width="12.7109375" customWidth="1"/>
    <col min="15" max="15" width="11.7109375" bestFit="1" customWidth="1"/>
  </cols>
  <sheetData>
    <row r="2" spans="2:8" ht="23.25" x14ac:dyDescent="0.35">
      <c r="B2" s="1" t="s">
        <v>100</v>
      </c>
    </row>
    <row r="3" spans="2:8" ht="23.25" x14ac:dyDescent="0.35">
      <c r="B3" s="1"/>
    </row>
    <row r="4" spans="2:8" ht="23.25" x14ac:dyDescent="0.35">
      <c r="B4" s="1"/>
    </row>
    <row r="5" spans="2:8" ht="23.25" x14ac:dyDescent="0.35">
      <c r="B5" s="1"/>
    </row>
    <row r="6" spans="2:8" ht="23.25" x14ac:dyDescent="0.35">
      <c r="B6" s="1"/>
    </row>
    <row r="7" spans="2:8" ht="23.25" x14ac:dyDescent="0.35">
      <c r="B7" s="1"/>
    </row>
    <row r="10" spans="2:8" x14ac:dyDescent="0.25">
      <c r="H10" s="4"/>
    </row>
    <row r="11" spans="2:8" ht="14.65" customHeight="1" x14ac:dyDescent="0.25">
      <c r="B11" s="43" t="s">
        <v>0</v>
      </c>
      <c r="C11" s="116" t="s">
        <v>2</v>
      </c>
    </row>
    <row r="12" spans="2:8" ht="14.65" customHeight="1" x14ac:dyDescent="0.25">
      <c r="C12" s="116" t="s">
        <v>92</v>
      </c>
    </row>
    <row r="13" spans="2:8" ht="14.65" customHeight="1" x14ac:dyDescent="0.25">
      <c r="C13" s="116" t="s">
        <v>272</v>
      </c>
    </row>
    <row r="14" spans="2:8" ht="14.65" customHeight="1" x14ac:dyDescent="0.25">
      <c r="C14" s="116" t="s">
        <v>101</v>
      </c>
    </row>
    <row r="15" spans="2:8" ht="15.75" thickBot="1" x14ac:dyDescent="0.3"/>
    <row r="16" spans="2:8" ht="15.75" thickBot="1" x14ac:dyDescent="0.3">
      <c r="D16" s="63" t="s">
        <v>91</v>
      </c>
      <c r="E16" s="64" t="s">
        <v>4</v>
      </c>
      <c r="F16" s="61"/>
    </row>
    <row r="17" spans="3:10" x14ac:dyDescent="0.25">
      <c r="D17" s="65">
        <v>1</v>
      </c>
      <c r="E17" s="68">
        <v>0</v>
      </c>
      <c r="F17" s="61"/>
    </row>
    <row r="18" spans="3:10" x14ac:dyDescent="0.25">
      <c r="D18" s="67">
        <v>2</v>
      </c>
      <c r="E18" s="68">
        <v>0</v>
      </c>
      <c r="F18" s="61"/>
    </row>
    <row r="19" spans="3:10" x14ac:dyDescent="0.25">
      <c r="D19" s="67">
        <v>3</v>
      </c>
      <c r="E19" s="104">
        <v>0</v>
      </c>
    </row>
    <row r="20" spans="3:10" ht="15.75" thickBot="1" x14ac:dyDescent="0.3">
      <c r="D20" s="67">
        <v>4</v>
      </c>
      <c r="E20" s="104">
        <v>0</v>
      </c>
    </row>
    <row r="21" spans="3:10" ht="15.75" thickBot="1" x14ac:dyDescent="0.3">
      <c r="D21" s="67">
        <v>5</v>
      </c>
      <c r="E21" s="103">
        <v>5500</v>
      </c>
      <c r="F21" s="61" t="s">
        <v>5</v>
      </c>
      <c r="J21" s="130"/>
    </row>
    <row r="22" spans="3:10" x14ac:dyDescent="0.25">
      <c r="D22" s="67">
        <v>6</v>
      </c>
      <c r="E22" s="104">
        <f t="shared" ref="E22:E24" si="0">E21</f>
        <v>5500</v>
      </c>
      <c r="F22" s="61"/>
      <c r="J22" s="130"/>
    </row>
    <row r="23" spans="3:10" x14ac:dyDescent="0.25">
      <c r="D23" s="67">
        <v>7</v>
      </c>
      <c r="E23" s="104">
        <f t="shared" si="0"/>
        <v>5500</v>
      </c>
      <c r="F23" s="61"/>
      <c r="J23" s="130"/>
    </row>
    <row r="24" spans="3:10" x14ac:dyDescent="0.25">
      <c r="D24" s="67">
        <v>8</v>
      </c>
      <c r="E24" s="104">
        <f t="shared" si="0"/>
        <v>5500</v>
      </c>
      <c r="F24" s="61"/>
      <c r="J24" s="130"/>
    </row>
    <row r="25" spans="3:10" ht="15.75" thickBot="1" x14ac:dyDescent="0.3">
      <c r="D25" s="69">
        <v>9</v>
      </c>
      <c r="E25" s="68">
        <f t="shared" ref="E25" si="1">E24</f>
        <v>5500</v>
      </c>
      <c r="F25" s="61"/>
      <c r="J25" s="130"/>
    </row>
    <row r="26" spans="3:10" s="60" customFormat="1" ht="15.75" thickBot="1" x14ac:dyDescent="0.3">
      <c r="D26" s="62">
        <v>10</v>
      </c>
      <c r="E26" s="66">
        <v>7500</v>
      </c>
      <c r="F26" s="61" t="s">
        <v>5</v>
      </c>
      <c r="J26" s="130"/>
    </row>
    <row r="27" spans="3:10" x14ac:dyDescent="0.25">
      <c r="J27" s="130"/>
    </row>
    <row r="28" spans="3:10" x14ac:dyDescent="0.25">
      <c r="C28" t="s">
        <v>93</v>
      </c>
      <c r="E28" s="3">
        <v>0.05</v>
      </c>
      <c r="I28" s="4"/>
    </row>
    <row r="30" spans="3:10" x14ac:dyDescent="0.25">
      <c r="C30" t="s">
        <v>94</v>
      </c>
    </row>
    <row r="31" spans="3:10" x14ac:dyDescent="0.25">
      <c r="C31" t="s">
        <v>95</v>
      </c>
    </row>
    <row r="32" spans="3:10" x14ac:dyDescent="0.25">
      <c r="C32" s="70" t="s">
        <v>247</v>
      </c>
    </row>
    <row r="33" spans="2:8" ht="15.75" thickBot="1" x14ac:dyDescent="0.3"/>
    <row r="34" spans="2:8" ht="15.75" thickBot="1" x14ac:dyDescent="0.3">
      <c r="C34" t="s">
        <v>96</v>
      </c>
      <c r="D34" s="145">
        <f>PV(E28,4,0,PV(E28,6,E21,E26-E21))</f>
        <v>24194.640844705002</v>
      </c>
      <c r="E34" s="146"/>
    </row>
    <row r="36" spans="2:8" x14ac:dyDescent="0.25">
      <c r="B36" s="74" t="s">
        <v>1</v>
      </c>
      <c r="C36" s="71" t="s">
        <v>117</v>
      </c>
      <c r="D36" s="71"/>
      <c r="E36" s="71"/>
      <c r="F36" s="71"/>
      <c r="G36" s="71"/>
      <c r="H36" s="71"/>
    </row>
    <row r="37" spans="2:8" s="70" customFormat="1" x14ac:dyDescent="0.25">
      <c r="B37" s="71"/>
      <c r="C37" s="76" t="s">
        <v>118</v>
      </c>
      <c r="D37" s="71"/>
      <c r="E37" s="71"/>
      <c r="F37" s="71"/>
      <c r="G37" s="71"/>
      <c r="H37" s="71"/>
    </row>
    <row r="38" spans="2:8" s="70" customFormat="1" x14ac:dyDescent="0.25">
      <c r="B38" s="71"/>
      <c r="C38" s="76" t="s">
        <v>273</v>
      </c>
      <c r="D38" s="71"/>
      <c r="E38" s="71"/>
      <c r="F38" s="71"/>
      <c r="G38" s="71"/>
      <c r="H38" s="71"/>
    </row>
    <row r="39" spans="2:8" s="70" customFormat="1" ht="15.75" thickBot="1" x14ac:dyDescent="0.3">
      <c r="B39" s="71"/>
      <c r="C39" s="71"/>
      <c r="D39" s="71"/>
      <c r="E39" s="71"/>
      <c r="F39" s="71"/>
      <c r="G39" s="71"/>
      <c r="H39" s="71"/>
    </row>
    <row r="40" spans="2:8" s="70" customFormat="1" ht="15.75" thickBot="1" x14ac:dyDescent="0.3">
      <c r="B40" s="71"/>
      <c r="C40" s="77" t="s">
        <v>119</v>
      </c>
      <c r="D40" s="71"/>
      <c r="E40" s="71"/>
      <c r="F40" s="78">
        <v>6.8500000000000005E-2</v>
      </c>
      <c r="G40" s="71"/>
      <c r="H40" s="71"/>
    </row>
    <row r="41" spans="2:8" s="70" customFormat="1" ht="15.75" thickBot="1" x14ac:dyDescent="0.3">
      <c r="B41" s="71"/>
      <c r="C41" s="71"/>
      <c r="D41" s="71"/>
      <c r="E41" s="72"/>
      <c r="F41" s="72"/>
      <c r="G41" s="71"/>
      <c r="H41" s="71"/>
    </row>
    <row r="42" spans="2:8" s="70" customFormat="1" ht="45.75" thickBot="1" x14ac:dyDescent="0.3">
      <c r="B42" s="71"/>
      <c r="C42" s="71"/>
      <c r="D42" s="71"/>
      <c r="E42" s="80" t="s">
        <v>120</v>
      </c>
      <c r="F42" s="80" t="s">
        <v>121</v>
      </c>
      <c r="G42" s="71"/>
      <c r="H42" s="71"/>
    </row>
    <row r="43" spans="2:8" s="70" customFormat="1" x14ac:dyDescent="0.25">
      <c r="B43" s="71"/>
      <c r="C43" s="71"/>
      <c r="D43" s="71"/>
      <c r="E43" s="73" t="s">
        <v>79</v>
      </c>
      <c r="F43" s="79">
        <f>FV(F40/4,4,0,-1)-1</f>
        <v>7.0279768450039803E-2</v>
      </c>
      <c r="G43" s="71"/>
      <c r="H43" s="71"/>
    </row>
    <row r="44" spans="2:8" s="70" customFormat="1" x14ac:dyDescent="0.25">
      <c r="B44" s="71"/>
      <c r="C44" s="71"/>
      <c r="D44" s="71"/>
      <c r="E44" s="73" t="s">
        <v>80</v>
      </c>
      <c r="F44" s="79">
        <f>FV(F40/12,12,0,-1)-1</f>
        <v>7.0692066416617516E-2</v>
      </c>
      <c r="G44" s="71"/>
      <c r="H44" s="71"/>
    </row>
    <row r="45" spans="2:8" s="70" customFormat="1" ht="15.75" thickBot="1" x14ac:dyDescent="0.3">
      <c r="B45" s="71"/>
      <c r="C45" s="71"/>
      <c r="D45" s="71"/>
      <c r="E45" s="73" t="s">
        <v>122</v>
      </c>
      <c r="F45" s="79">
        <f>FV(F40/365,365,0,-1)-1</f>
        <v>7.0893742363734358E-2</v>
      </c>
      <c r="G45" s="71"/>
      <c r="H45" s="71"/>
    </row>
    <row r="46" spans="2:8" s="70" customFormat="1" ht="15.75" thickBot="1" x14ac:dyDescent="0.3">
      <c r="B46" s="71"/>
      <c r="C46" s="71"/>
      <c r="D46" s="71"/>
      <c r="E46" s="81" t="s">
        <v>123</v>
      </c>
      <c r="F46" s="75">
        <f>EXP(F40)-1</f>
        <v>7.0900624950979374E-2</v>
      </c>
      <c r="G46" s="71"/>
      <c r="H46" s="71"/>
    </row>
    <row r="47" spans="2:8" s="70" customFormat="1" x14ac:dyDescent="0.25"/>
    <row r="48" spans="2:8" s="70" customFormat="1" x14ac:dyDescent="0.25"/>
    <row r="49" spans="2:7" x14ac:dyDescent="0.25">
      <c r="B49" s="58" t="s">
        <v>6</v>
      </c>
      <c r="C49" t="s">
        <v>76</v>
      </c>
    </row>
    <row r="50" spans="2:7" s="101" customFormat="1" ht="15.75" thickBot="1" x14ac:dyDescent="0.3">
      <c r="B50" s="102"/>
    </row>
    <row r="51" spans="2:7" s="120" customFormat="1" ht="15.75" thickBot="1" x14ac:dyDescent="0.3">
      <c r="B51" s="102"/>
      <c r="D51" s="63" t="s">
        <v>91</v>
      </c>
      <c r="E51" s="64" t="s">
        <v>4</v>
      </c>
    </row>
    <row r="52" spans="2:7" s="120" customFormat="1" x14ac:dyDescent="0.25">
      <c r="B52" s="102"/>
      <c r="D52" s="131">
        <v>0</v>
      </c>
      <c r="E52" s="132">
        <v>1500</v>
      </c>
      <c r="G52" s="135"/>
    </row>
    <row r="53" spans="2:7" s="120" customFormat="1" x14ac:dyDescent="0.25">
      <c r="B53" s="102"/>
      <c r="D53" s="67">
        <v>1</v>
      </c>
      <c r="E53" s="104">
        <v>1500</v>
      </c>
      <c r="G53" s="135"/>
    </row>
    <row r="54" spans="2:7" s="120" customFormat="1" x14ac:dyDescent="0.25">
      <c r="B54" s="102"/>
      <c r="D54" s="67">
        <v>2</v>
      </c>
      <c r="E54" s="104">
        <v>1500</v>
      </c>
      <c r="G54" s="135"/>
    </row>
    <row r="55" spans="2:7" s="120" customFormat="1" x14ac:dyDescent="0.25">
      <c r="B55" s="102"/>
      <c r="D55" s="67">
        <v>3</v>
      </c>
      <c r="E55" s="134" t="s">
        <v>274</v>
      </c>
      <c r="G55" s="135"/>
    </row>
    <row r="56" spans="2:7" s="120" customFormat="1" x14ac:dyDescent="0.25">
      <c r="B56" s="102"/>
      <c r="D56" s="67">
        <v>4</v>
      </c>
      <c r="E56" s="134" t="s">
        <v>274</v>
      </c>
      <c r="G56" s="135"/>
    </row>
    <row r="57" spans="2:7" s="120" customFormat="1" x14ac:dyDescent="0.25">
      <c r="B57" s="102"/>
      <c r="D57" s="67">
        <v>5</v>
      </c>
      <c r="E57" s="134" t="s">
        <v>274</v>
      </c>
      <c r="G57" s="135"/>
    </row>
    <row r="58" spans="2:7" s="120" customFormat="1" x14ac:dyDescent="0.25">
      <c r="B58" s="102"/>
      <c r="D58" s="67">
        <v>6</v>
      </c>
      <c r="E58" s="134" t="s">
        <v>274</v>
      </c>
      <c r="G58" s="135"/>
    </row>
    <row r="59" spans="2:7" s="120" customFormat="1" x14ac:dyDescent="0.25">
      <c r="B59" s="102"/>
      <c r="D59" s="67">
        <v>7</v>
      </c>
      <c r="E59" s="104">
        <v>1500</v>
      </c>
      <c r="G59" s="135"/>
    </row>
    <row r="60" spans="2:7" s="120" customFormat="1" x14ac:dyDescent="0.25">
      <c r="B60" s="102"/>
      <c r="D60" s="67">
        <v>8</v>
      </c>
      <c r="E60" s="104">
        <v>1500</v>
      </c>
      <c r="G60" s="135"/>
    </row>
    <row r="61" spans="2:7" s="120" customFormat="1" x14ac:dyDescent="0.25">
      <c r="B61" s="102"/>
      <c r="D61" s="67">
        <v>9</v>
      </c>
      <c r="E61" s="104">
        <v>1500</v>
      </c>
      <c r="G61" s="135"/>
    </row>
    <row r="62" spans="2:7" s="120" customFormat="1" ht="15.75" thickBot="1" x14ac:dyDescent="0.3">
      <c r="B62" s="102"/>
      <c r="D62" s="62">
        <v>10</v>
      </c>
      <c r="E62" s="133">
        <v>750</v>
      </c>
      <c r="G62" s="135"/>
    </row>
    <row r="63" spans="2:7" s="120" customFormat="1" x14ac:dyDescent="0.25">
      <c r="B63" s="102"/>
      <c r="G63" s="135"/>
    </row>
    <row r="64" spans="2:7" x14ac:dyDescent="0.25">
      <c r="C64" s="105" t="s">
        <v>248</v>
      </c>
    </row>
    <row r="65" spans="2:15" ht="14.65" customHeight="1" x14ac:dyDescent="0.25">
      <c r="C65" s="116" t="s">
        <v>249</v>
      </c>
    </row>
    <row r="66" spans="2:15" x14ac:dyDescent="0.25">
      <c r="C66" s="105" t="s">
        <v>77</v>
      </c>
      <c r="L66" s="4"/>
    </row>
    <row r="67" spans="2:15" x14ac:dyDescent="0.25">
      <c r="C67" s="105" t="s">
        <v>86</v>
      </c>
    </row>
    <row r="68" spans="2:15" x14ac:dyDescent="0.25">
      <c r="C68" s="105" t="s">
        <v>278</v>
      </c>
      <c r="O68" s="107"/>
    </row>
    <row r="69" spans="2:15" s="83" customFormat="1" x14ac:dyDescent="0.25">
      <c r="C69" s="85"/>
      <c r="K69" s="107"/>
      <c r="N69"/>
      <c r="O69" s="107"/>
    </row>
    <row r="70" spans="2:15" s="83" customFormat="1" x14ac:dyDescent="0.25">
      <c r="C70" s="84"/>
      <c r="O70" s="107"/>
    </row>
    <row r="71" spans="2:15" x14ac:dyDescent="0.25">
      <c r="C71" s="105" t="s">
        <v>210</v>
      </c>
      <c r="D71" s="105"/>
      <c r="E71" s="106">
        <v>1500</v>
      </c>
      <c r="J71" s="105"/>
      <c r="K71" s="105"/>
      <c r="L71" s="106"/>
      <c r="N71" s="83"/>
      <c r="O71" s="107"/>
    </row>
    <row r="72" spans="2:15" x14ac:dyDescent="0.25">
      <c r="C72" s="105" t="s">
        <v>275</v>
      </c>
      <c r="D72" s="105"/>
      <c r="E72" s="106">
        <f>PV(0.08,2,-1500)</f>
        <v>2674.8971193415655</v>
      </c>
      <c r="J72" s="105"/>
      <c r="K72" s="105"/>
      <c r="L72" s="106"/>
      <c r="O72" s="120"/>
    </row>
    <row r="73" spans="2:15" x14ac:dyDescent="0.25">
      <c r="C73" s="105" t="s">
        <v>276</v>
      </c>
      <c r="D73" s="105"/>
      <c r="E73" s="106">
        <f>PV(0.08,6,0,PV(0.08,4,1500,-750))</f>
        <v>2783.407486406868</v>
      </c>
      <c r="J73" s="105"/>
      <c r="K73" s="105"/>
      <c r="L73" s="106"/>
      <c r="O73" s="120"/>
    </row>
    <row r="74" spans="2:15" x14ac:dyDescent="0.25">
      <c r="C74" s="105" t="s">
        <v>97</v>
      </c>
      <c r="D74" s="105"/>
      <c r="E74" s="106">
        <f>E72+E73+E71</f>
        <v>6958.3046057484335</v>
      </c>
      <c r="J74" s="105"/>
      <c r="K74" s="105"/>
      <c r="L74" s="106"/>
      <c r="O74" s="120"/>
    </row>
    <row r="75" spans="2:15" x14ac:dyDescent="0.25">
      <c r="C75" s="105" t="s">
        <v>98</v>
      </c>
      <c r="D75" s="105"/>
      <c r="E75" s="106">
        <f>10000-E74</f>
        <v>3041.6953942515665</v>
      </c>
      <c r="J75" s="105"/>
      <c r="K75" s="105"/>
      <c r="L75" s="106"/>
      <c r="O75" s="120"/>
    </row>
    <row r="76" spans="2:15" x14ac:dyDescent="0.25">
      <c r="C76" s="105" t="s">
        <v>277</v>
      </c>
      <c r="D76" s="105"/>
      <c r="E76" s="106">
        <f>FV(0.08,2,0,-E75)</f>
        <v>3547.8335078550276</v>
      </c>
      <c r="J76" s="105"/>
      <c r="K76" s="105"/>
      <c r="L76" s="106"/>
    </row>
    <row r="77" spans="2:15" x14ac:dyDescent="0.25">
      <c r="C77" s="105" t="s">
        <v>99</v>
      </c>
      <c r="D77" s="105"/>
      <c r="E77" s="106">
        <f>PMT(0.08,4,-E76)</f>
        <v>1071.1647467605862</v>
      </c>
      <c r="H77" s="105"/>
      <c r="J77" s="105"/>
      <c r="K77" s="105"/>
      <c r="L77" s="106"/>
    </row>
    <row r="78" spans="2:15" x14ac:dyDescent="0.25">
      <c r="F78" s="43"/>
      <c r="O78" s="107"/>
    </row>
    <row r="79" spans="2:15" x14ac:dyDescent="0.25">
      <c r="B79" s="58" t="s">
        <v>7</v>
      </c>
      <c r="C79" t="s">
        <v>20</v>
      </c>
    </row>
    <row r="80" spans="2:15" ht="17.25" x14ac:dyDescent="0.4">
      <c r="C80" t="s">
        <v>211</v>
      </c>
      <c r="I80" s="18" t="s">
        <v>3</v>
      </c>
      <c r="J80" s="18" t="s">
        <v>17</v>
      </c>
      <c r="K80" s="18" t="s">
        <v>18</v>
      </c>
      <c r="L80" s="18" t="s">
        <v>28</v>
      </c>
      <c r="M80" s="18" t="s">
        <v>19</v>
      </c>
      <c r="N80" s="18"/>
    </row>
    <row r="81" spans="2:13" x14ac:dyDescent="0.25">
      <c r="C81" t="s">
        <v>279</v>
      </c>
      <c r="I81" s="17">
        <v>1</v>
      </c>
      <c r="J81">
        <v>2500</v>
      </c>
      <c r="K81">
        <v>1800</v>
      </c>
      <c r="L81">
        <v>300</v>
      </c>
      <c r="M81">
        <v>125</v>
      </c>
    </row>
    <row r="82" spans="2:13" ht="15.75" thickBot="1" x14ac:dyDescent="0.3">
      <c r="I82" s="17">
        <v>2</v>
      </c>
      <c r="J82">
        <v>3000</v>
      </c>
      <c r="K82">
        <v>2200</v>
      </c>
      <c r="L82">
        <v>315</v>
      </c>
      <c r="M82">
        <v>150</v>
      </c>
    </row>
    <row r="83" spans="2:13" ht="15.75" thickBot="1" x14ac:dyDescent="0.3">
      <c r="C83" s="7" t="s">
        <v>21</v>
      </c>
      <c r="E83" s="19">
        <v>5</v>
      </c>
      <c r="I83" s="17">
        <v>3</v>
      </c>
      <c r="J83">
        <v>3250</v>
      </c>
      <c r="K83">
        <v>2400</v>
      </c>
      <c r="L83">
        <v>325</v>
      </c>
      <c r="M83">
        <v>162</v>
      </c>
    </row>
    <row r="84" spans="2:13" ht="15.75" thickBot="1" x14ac:dyDescent="0.3">
      <c r="C84" s="16"/>
      <c r="I84" s="17">
        <v>4</v>
      </c>
      <c r="J84">
        <v>4000</v>
      </c>
      <c r="K84">
        <v>3100</v>
      </c>
      <c r="L84">
        <v>400</v>
      </c>
      <c r="M84">
        <v>200</v>
      </c>
    </row>
    <row r="85" spans="2:13" ht="15.75" thickBot="1" x14ac:dyDescent="0.3">
      <c r="C85" s="7" t="s">
        <v>28</v>
      </c>
      <c r="E85" s="20">
        <f>VLOOKUP(E83,I81:M90,4)</f>
        <v>430</v>
      </c>
      <c r="I85" s="17">
        <v>5</v>
      </c>
      <c r="J85">
        <v>4500</v>
      </c>
      <c r="K85">
        <v>3300</v>
      </c>
      <c r="L85">
        <v>430</v>
      </c>
      <c r="M85">
        <v>225</v>
      </c>
    </row>
    <row r="86" spans="2:13" x14ac:dyDescent="0.25">
      <c r="I86" s="17">
        <v>6</v>
      </c>
      <c r="J86">
        <v>5200</v>
      </c>
      <c r="K86">
        <v>3900</v>
      </c>
      <c r="L86">
        <v>450</v>
      </c>
      <c r="M86">
        <v>260</v>
      </c>
    </row>
    <row r="87" spans="2:13" x14ac:dyDescent="0.25">
      <c r="I87" s="17">
        <v>7</v>
      </c>
      <c r="J87">
        <v>5900</v>
      </c>
      <c r="K87">
        <v>4400</v>
      </c>
      <c r="L87">
        <v>500</v>
      </c>
      <c r="M87">
        <v>295</v>
      </c>
    </row>
    <row r="88" spans="2:13" x14ac:dyDescent="0.25">
      <c r="I88" s="17">
        <v>8</v>
      </c>
      <c r="J88">
        <v>6500</v>
      </c>
      <c r="K88">
        <v>4800</v>
      </c>
      <c r="L88">
        <v>550</v>
      </c>
      <c r="M88">
        <v>325</v>
      </c>
    </row>
    <row r="89" spans="2:13" x14ac:dyDescent="0.25">
      <c r="I89" s="17">
        <v>9</v>
      </c>
      <c r="J89">
        <v>8000</v>
      </c>
      <c r="K89">
        <v>6000</v>
      </c>
      <c r="L89">
        <v>590</v>
      </c>
      <c r="M89">
        <v>400</v>
      </c>
    </row>
    <row r="90" spans="2:13" x14ac:dyDescent="0.25">
      <c r="I90" s="17">
        <v>10</v>
      </c>
      <c r="J90">
        <v>9250</v>
      </c>
      <c r="K90">
        <v>6900</v>
      </c>
      <c r="L90">
        <v>700</v>
      </c>
      <c r="M90">
        <v>475</v>
      </c>
    </row>
    <row r="92" spans="2:13" x14ac:dyDescent="0.25">
      <c r="C92" t="s">
        <v>212</v>
      </c>
    </row>
    <row r="93" spans="2:13" x14ac:dyDescent="0.25">
      <c r="B93" s="82" t="s">
        <v>130</v>
      </c>
      <c r="C93" t="s">
        <v>280</v>
      </c>
    </row>
    <row r="94" spans="2:13" ht="15.75" thickBot="1" x14ac:dyDescent="0.3"/>
    <row r="95" spans="2:13" ht="15.75" thickBot="1" x14ac:dyDescent="0.3">
      <c r="C95" s="136" t="s">
        <v>3</v>
      </c>
      <c r="D95" s="137" t="s">
        <v>17</v>
      </c>
    </row>
    <row r="96" spans="2:13" x14ac:dyDescent="0.25">
      <c r="C96" s="138">
        <v>2006</v>
      </c>
      <c r="D96" s="139">
        <v>1075050</v>
      </c>
    </row>
    <row r="97" spans="3:4" x14ac:dyDescent="0.25">
      <c r="C97" s="86">
        <v>2007</v>
      </c>
      <c r="D97" s="90">
        <v>948500</v>
      </c>
    </row>
    <row r="98" spans="3:4" x14ac:dyDescent="0.25">
      <c r="C98" s="86">
        <v>2008</v>
      </c>
      <c r="D98" s="90">
        <v>1200000</v>
      </c>
    </row>
    <row r="99" spans="3:4" x14ac:dyDescent="0.25">
      <c r="C99" s="86">
        <v>2009</v>
      </c>
      <c r="D99" s="90">
        <v>1289000</v>
      </c>
    </row>
    <row r="100" spans="3:4" x14ac:dyDescent="0.25">
      <c r="C100" s="86">
        <v>2010</v>
      </c>
      <c r="D100" s="90">
        <v>1265000</v>
      </c>
    </row>
    <row r="101" spans="3:4" x14ac:dyDescent="0.25">
      <c r="C101" s="86">
        <v>2011</v>
      </c>
      <c r="D101" s="90">
        <v>1560000</v>
      </c>
    </row>
    <row r="102" spans="3:4" s="116" customFormat="1" x14ac:dyDescent="0.25">
      <c r="C102" s="86">
        <v>2012</v>
      </c>
      <c r="D102" s="90">
        <v>1755000</v>
      </c>
    </row>
    <row r="103" spans="3:4" x14ac:dyDescent="0.25">
      <c r="C103" s="86">
        <v>2013</v>
      </c>
      <c r="D103" s="90">
        <v>1695000</v>
      </c>
    </row>
    <row r="104" spans="3:4" ht="15.75" thickBot="1" x14ac:dyDescent="0.3">
      <c r="C104" s="87">
        <v>2014</v>
      </c>
      <c r="D104" s="88">
        <f>TREND(D96:D103,C96:C103,C104)</f>
        <v>1853523.2142857015</v>
      </c>
    </row>
  </sheetData>
  <mergeCells count="1">
    <mergeCell ref="D34:E34"/>
  </mergeCells>
  <pageMargins left="0.7" right="0.7" top="0.75" bottom="0.75" header="0.3" footer="0.3"/>
  <pageSetup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4:L73"/>
  <sheetViews>
    <sheetView showGridLines="0" zoomScale="115" zoomScaleNormal="115" workbookViewId="0"/>
  </sheetViews>
  <sheetFormatPr defaultColWidth="8.7109375" defaultRowHeight="15" x14ac:dyDescent="0.25"/>
  <cols>
    <col min="1" max="1" width="6.28515625" style="22" customWidth="1"/>
    <col min="2" max="2" width="4" style="21" customWidth="1"/>
    <col min="3" max="3" width="30.7109375" style="21" customWidth="1"/>
    <col min="4" max="4" width="17" style="22" customWidth="1"/>
    <col min="5" max="6" width="14.5703125" style="22" customWidth="1"/>
    <col min="7" max="7" width="4.140625" style="22" customWidth="1"/>
    <col min="8" max="16384" width="8.7109375" style="22"/>
  </cols>
  <sheetData>
    <row r="24" spans="3:6" ht="15.75" thickBot="1" x14ac:dyDescent="0.3"/>
    <row r="25" spans="3:6" ht="19.5" customHeight="1" thickBot="1" x14ac:dyDescent="0.3">
      <c r="C25" s="148" t="s">
        <v>58</v>
      </c>
      <c r="D25" s="149"/>
      <c r="E25" s="149"/>
      <c r="F25" s="149"/>
    </row>
    <row r="26" spans="3:6" ht="16.149999999999999" customHeight="1" x14ac:dyDescent="0.25">
      <c r="C26" s="38" t="s">
        <v>281</v>
      </c>
      <c r="F26" s="110">
        <v>0.05</v>
      </c>
    </row>
    <row r="27" spans="3:6" x14ac:dyDescent="0.25">
      <c r="C27" s="38" t="s">
        <v>57</v>
      </c>
      <c r="F27" s="110">
        <v>3.5000000000000003E-2</v>
      </c>
    </row>
    <row r="28" spans="3:6" x14ac:dyDescent="0.25">
      <c r="C28" s="38" t="s">
        <v>56</v>
      </c>
      <c r="F28" s="110">
        <v>4.5999999999999999E-2</v>
      </c>
    </row>
    <row r="29" spans="3:6" x14ac:dyDescent="0.25">
      <c r="C29" s="38" t="s">
        <v>282</v>
      </c>
      <c r="F29" s="109">
        <v>0.34</v>
      </c>
    </row>
    <row r="30" spans="3:6" x14ac:dyDescent="0.25">
      <c r="C30" s="38" t="s">
        <v>283</v>
      </c>
      <c r="F30" s="108">
        <v>175000</v>
      </c>
    </row>
    <row r="31" spans="3:6" x14ac:dyDescent="0.25">
      <c r="C31" s="38" t="s">
        <v>284</v>
      </c>
      <c r="F31" s="108">
        <v>250000</v>
      </c>
    </row>
    <row r="32" spans="3:6" x14ac:dyDescent="0.25">
      <c r="C32" s="38" t="s">
        <v>285</v>
      </c>
      <c r="F32" s="108">
        <v>50000</v>
      </c>
    </row>
    <row r="33" spans="3:12" ht="7.5" customHeight="1" thickBot="1" x14ac:dyDescent="0.3">
      <c r="C33" s="39"/>
      <c r="D33" s="26"/>
      <c r="E33" s="26"/>
      <c r="F33" s="40"/>
    </row>
    <row r="34" spans="3:12" x14ac:dyDescent="0.25">
      <c r="C34" s="38"/>
      <c r="F34" s="37"/>
    </row>
    <row r="35" spans="3:12" ht="21.75" thickBot="1" x14ac:dyDescent="0.4">
      <c r="C35" s="147" t="s">
        <v>22</v>
      </c>
      <c r="D35" s="147"/>
      <c r="E35" s="147"/>
      <c r="F35" s="147"/>
    </row>
    <row r="36" spans="3:12" ht="19.5" customHeight="1" thickBot="1" x14ac:dyDescent="0.3">
      <c r="C36" s="32"/>
      <c r="D36" s="117">
        <v>2012</v>
      </c>
      <c r="E36" s="117">
        <v>2013</v>
      </c>
      <c r="F36" s="117">
        <v>2014</v>
      </c>
    </row>
    <row r="37" spans="3:12" ht="17.25" customHeight="1" x14ac:dyDescent="0.25">
      <c r="C37" s="33" t="s">
        <v>17</v>
      </c>
      <c r="D37" s="22">
        <v>4250000</v>
      </c>
      <c r="E37" s="22">
        <v>4375000</v>
      </c>
      <c r="F37" s="45">
        <f>E37*(1+F26)</f>
        <v>4593750</v>
      </c>
    </row>
    <row r="38" spans="3:12" ht="17.25" x14ac:dyDescent="0.4">
      <c r="C38" s="36" t="s">
        <v>23</v>
      </c>
      <c r="D38" s="24">
        <v>1750080</v>
      </c>
      <c r="E38" s="24">
        <v>1695000</v>
      </c>
      <c r="F38" s="24">
        <f>$F$37*J38*0.94</f>
        <v>1725548.8764705881</v>
      </c>
      <c r="H38" s="50">
        <f>D38/D$37</f>
        <v>0.41178352941176471</v>
      </c>
      <c r="I38" s="50">
        <f>E38/E$37</f>
        <v>0.38742857142857146</v>
      </c>
      <c r="J38" s="52">
        <f>AVERAGE(H38:I38)</f>
        <v>0.39960605042016806</v>
      </c>
      <c r="L38"/>
    </row>
    <row r="39" spans="3:12" x14ac:dyDescent="0.25">
      <c r="C39" s="34" t="s">
        <v>24</v>
      </c>
      <c r="D39" s="22">
        <f>D37-D38</f>
        <v>2499920</v>
      </c>
      <c r="E39" s="22">
        <f>E37-E38</f>
        <v>2680000</v>
      </c>
      <c r="F39" s="22">
        <f>F37-F38</f>
        <v>2868201.1235294119</v>
      </c>
    </row>
    <row r="40" spans="3:12" x14ac:dyDescent="0.25">
      <c r="C40" s="33" t="s">
        <v>25</v>
      </c>
      <c r="D40" s="22">
        <v>750000</v>
      </c>
      <c r="E40" s="22">
        <v>825000</v>
      </c>
      <c r="F40" s="22">
        <f>$F$37*J40</f>
        <v>838455.8823529412</v>
      </c>
      <c r="G40" s="25"/>
      <c r="H40" s="50">
        <f>D40/D$37</f>
        <v>0.17647058823529413</v>
      </c>
      <c r="I40" s="50">
        <f>E40/E$37</f>
        <v>0.18857142857142858</v>
      </c>
      <c r="J40" s="52">
        <f>AVERAGE(H40:I40)</f>
        <v>0.18252100840336136</v>
      </c>
    </row>
    <row r="41" spans="3:12" x14ac:dyDescent="0.25">
      <c r="C41" s="33" t="s">
        <v>26</v>
      </c>
      <c r="D41" s="22">
        <v>320000</v>
      </c>
      <c r="E41" s="22">
        <v>320000</v>
      </c>
      <c r="F41" s="141">
        <v>320000</v>
      </c>
    </row>
    <row r="42" spans="3:12" ht="17.25" x14ac:dyDescent="0.4">
      <c r="C42" s="36" t="s">
        <v>27</v>
      </c>
      <c r="D42" s="24">
        <v>125000</v>
      </c>
      <c r="E42" s="24">
        <v>120000</v>
      </c>
      <c r="F42" s="24">
        <f>E42+F32</f>
        <v>170000</v>
      </c>
    </row>
    <row r="43" spans="3:12" x14ac:dyDescent="0.25">
      <c r="C43" s="34" t="s">
        <v>28</v>
      </c>
      <c r="D43" s="22">
        <f>D39-D40-D41-D42</f>
        <v>1304920</v>
      </c>
      <c r="E43" s="22">
        <f>E39-E40-E41-E42</f>
        <v>1415000</v>
      </c>
      <c r="F43" s="22">
        <f>F39-F40-F41-F42</f>
        <v>1539745.2411764706</v>
      </c>
    </row>
    <row r="44" spans="3:12" ht="17.25" x14ac:dyDescent="0.4">
      <c r="C44" s="36" t="s">
        <v>29</v>
      </c>
      <c r="D44" s="24">
        <v>32500</v>
      </c>
      <c r="E44" s="24">
        <v>30150</v>
      </c>
      <c r="F44" s="24">
        <f>F27*E61+F28*E64</f>
        <v>29080</v>
      </c>
    </row>
    <row r="45" spans="3:12" x14ac:dyDescent="0.25">
      <c r="C45" s="34" t="s">
        <v>30</v>
      </c>
      <c r="D45" s="22">
        <f>D43-D44</f>
        <v>1272420</v>
      </c>
      <c r="E45" s="22">
        <f>E43-E44</f>
        <v>1384850</v>
      </c>
      <c r="F45" s="22">
        <f>F43-F44</f>
        <v>1510665.2411764706</v>
      </c>
    </row>
    <row r="46" spans="3:12" ht="17.25" x14ac:dyDescent="0.4">
      <c r="C46" s="36" t="s">
        <v>31</v>
      </c>
      <c r="D46" s="24">
        <v>430200</v>
      </c>
      <c r="E46" s="89">
        <v>479000</v>
      </c>
      <c r="F46" s="24">
        <f>F45*F29</f>
        <v>513626.18200000003</v>
      </c>
    </row>
    <row r="47" spans="3:12" ht="15.75" thickBot="1" x14ac:dyDescent="0.3">
      <c r="C47" s="35" t="s">
        <v>19</v>
      </c>
      <c r="D47" s="26">
        <f>D45-D46</f>
        <v>842220</v>
      </c>
      <c r="E47" s="26">
        <f>E45-E46</f>
        <v>905850</v>
      </c>
      <c r="F47" s="26">
        <f>F45-F46</f>
        <v>997039.05917647062</v>
      </c>
    </row>
    <row r="48" spans="3:12" ht="7.5" customHeight="1" x14ac:dyDescent="0.25">
      <c r="C48" s="16"/>
      <c r="D48"/>
      <c r="E48"/>
      <c r="F48"/>
    </row>
    <row r="49" spans="2:10" ht="21.75" thickBot="1" x14ac:dyDescent="0.4">
      <c r="B49" s="147" t="s">
        <v>32</v>
      </c>
      <c r="C49" s="147"/>
      <c r="D49" s="147"/>
      <c r="E49" s="147"/>
      <c r="F49" s="147"/>
    </row>
    <row r="50" spans="2:10" ht="15.75" thickBot="1" x14ac:dyDescent="0.3">
      <c r="B50" s="27" t="s">
        <v>33</v>
      </c>
      <c r="C50" s="27"/>
      <c r="D50" s="117">
        <v>2012</v>
      </c>
      <c r="E50" s="117">
        <v>2013</v>
      </c>
      <c r="F50" s="117">
        <v>2014</v>
      </c>
    </row>
    <row r="51" spans="2:10" x14ac:dyDescent="0.25">
      <c r="B51" s="28" t="s">
        <v>34</v>
      </c>
      <c r="D51" s="22">
        <v>755000</v>
      </c>
      <c r="E51" s="22">
        <v>845000</v>
      </c>
      <c r="F51" s="141">
        <v>825000</v>
      </c>
    </row>
    <row r="52" spans="2:10" x14ac:dyDescent="0.25">
      <c r="B52" s="28" t="s">
        <v>35</v>
      </c>
      <c r="D52" s="22">
        <v>345000</v>
      </c>
      <c r="E52" s="22">
        <v>490000</v>
      </c>
      <c r="F52" s="22">
        <f>$F$37*J52</f>
        <v>443702.20588235289</v>
      </c>
      <c r="H52" s="50">
        <f>D52/D$37</f>
        <v>8.1176470588235294E-2</v>
      </c>
      <c r="I52" s="50">
        <f>E52/E$37</f>
        <v>0.112</v>
      </c>
      <c r="J52" s="52">
        <f>AVERAGE(H52:I52)</f>
        <v>9.6588235294117641E-2</v>
      </c>
    </row>
    <row r="53" spans="2:10" ht="17.25" x14ac:dyDescent="0.4">
      <c r="B53" s="28" t="s">
        <v>36</v>
      </c>
      <c r="D53" s="24">
        <v>1145000</v>
      </c>
      <c r="E53" s="24">
        <v>1050000</v>
      </c>
      <c r="F53" s="89">
        <f>$F$37*J53</f>
        <v>1170055.1470588236</v>
      </c>
      <c r="H53" s="50">
        <f>D53/D$37</f>
        <v>0.26941176470588235</v>
      </c>
      <c r="I53" s="50">
        <f>E53/E$37</f>
        <v>0.24</v>
      </c>
      <c r="J53" s="52">
        <f>AVERAGE(H53:I53)</f>
        <v>0.25470588235294117</v>
      </c>
    </row>
    <row r="54" spans="2:10" x14ac:dyDescent="0.25">
      <c r="B54" s="29" t="s">
        <v>37</v>
      </c>
      <c r="D54" s="22">
        <f>D51+D52+D53</f>
        <v>2245000</v>
      </c>
      <c r="E54" s="22">
        <f>E51+E52+E53</f>
        <v>2385000</v>
      </c>
      <c r="F54" s="22">
        <f>SUM(F51:F53)</f>
        <v>2438757.3529411764</v>
      </c>
    </row>
    <row r="55" spans="2:10" x14ac:dyDescent="0.25">
      <c r="B55" s="28" t="s">
        <v>38</v>
      </c>
      <c r="D55" s="22">
        <v>2060000</v>
      </c>
      <c r="E55" s="22">
        <v>1958000</v>
      </c>
      <c r="F55" s="22">
        <f>E55+F31</f>
        <v>2208000</v>
      </c>
    </row>
    <row r="56" spans="2:10" ht="17.25" x14ac:dyDescent="0.4">
      <c r="B56" s="28" t="s">
        <v>39</v>
      </c>
      <c r="D56" s="24">
        <v>950000</v>
      </c>
      <c r="E56" s="24">
        <v>1000000</v>
      </c>
      <c r="F56" s="24">
        <f>E56+F42</f>
        <v>1170000</v>
      </c>
    </row>
    <row r="57" spans="2:10" ht="17.25" x14ac:dyDescent="0.4">
      <c r="B57" s="29" t="s">
        <v>40</v>
      </c>
      <c r="D57" s="24">
        <f>D55-D56</f>
        <v>1110000</v>
      </c>
      <c r="E57" s="24">
        <f>E55-E56</f>
        <v>958000</v>
      </c>
      <c r="F57" s="24">
        <f>F55-F56</f>
        <v>1038000</v>
      </c>
    </row>
    <row r="58" spans="2:10" ht="15.75" thickBot="1" x14ac:dyDescent="0.3">
      <c r="B58" s="29" t="s">
        <v>41</v>
      </c>
      <c r="D58" s="22">
        <f>D54+D57</f>
        <v>3355000</v>
      </c>
      <c r="E58" s="22">
        <f>E54+E57</f>
        <v>3343000</v>
      </c>
      <c r="F58" s="22">
        <f>F54+F57</f>
        <v>3476757.3529411764</v>
      </c>
    </row>
    <row r="59" spans="2:10" ht="16.149999999999999" customHeight="1" x14ac:dyDescent="0.25">
      <c r="B59" s="27" t="s">
        <v>42</v>
      </c>
      <c r="C59" s="27"/>
      <c r="D59" s="23"/>
      <c r="E59" s="23"/>
      <c r="F59" s="23"/>
    </row>
    <row r="60" spans="2:10" x14ac:dyDescent="0.25">
      <c r="B60" s="28" t="s">
        <v>43</v>
      </c>
      <c r="D60" s="22">
        <v>165000</v>
      </c>
      <c r="E60" s="22">
        <v>155000</v>
      </c>
      <c r="F60" s="22">
        <f>$F$37*J60</f>
        <v>170547.79411764705</v>
      </c>
      <c r="H60" s="50">
        <f>D60/D$37</f>
        <v>3.8823529411764708E-2</v>
      </c>
      <c r="I60" s="50">
        <f>E60/E$37</f>
        <v>3.5428571428571427E-2</v>
      </c>
      <c r="J60" s="52">
        <f>AVERAGE(H60:I60)</f>
        <v>3.7126050420168068E-2</v>
      </c>
    </row>
    <row r="61" spans="2:10" x14ac:dyDescent="0.25">
      <c r="B61" s="28" t="s">
        <v>44</v>
      </c>
      <c r="D61" s="22">
        <v>180000</v>
      </c>
      <c r="E61" s="22">
        <v>200000</v>
      </c>
      <c r="F61" s="141">
        <v>220000</v>
      </c>
    </row>
    <row r="62" spans="2:10" ht="17.25" x14ac:dyDescent="0.4">
      <c r="B62" s="28" t="s">
        <v>45</v>
      </c>
      <c r="D62" s="24">
        <v>125000</v>
      </c>
      <c r="E62" s="24">
        <v>135000</v>
      </c>
      <c r="F62" s="142">
        <v>128000</v>
      </c>
    </row>
    <row r="63" spans="2:10" x14ac:dyDescent="0.25">
      <c r="B63" s="29" t="s">
        <v>46</v>
      </c>
      <c r="D63" s="22">
        <f>D60+D61+D62</f>
        <v>470000</v>
      </c>
      <c r="E63" s="22">
        <f>E60+E61+E62</f>
        <v>490000</v>
      </c>
      <c r="F63" s="22">
        <f>SUM(F60:F62)</f>
        <v>518547.79411764705</v>
      </c>
    </row>
    <row r="64" spans="2:10" ht="17.25" x14ac:dyDescent="0.4">
      <c r="B64" s="28" t="s">
        <v>47</v>
      </c>
      <c r="D64" s="24">
        <v>540000</v>
      </c>
      <c r="E64" s="24">
        <v>480000</v>
      </c>
      <c r="F64" s="142">
        <v>475000</v>
      </c>
    </row>
    <row r="65" spans="2:6" x14ac:dyDescent="0.25">
      <c r="B65" s="29" t="s">
        <v>48</v>
      </c>
      <c r="D65" s="22">
        <f>D63+D64</f>
        <v>1010000</v>
      </c>
      <c r="E65" s="22">
        <f>E63+E64</f>
        <v>970000</v>
      </c>
      <c r="F65" s="22">
        <f>F63+F64</f>
        <v>993547.79411764699</v>
      </c>
    </row>
    <row r="66" spans="2:6" x14ac:dyDescent="0.25">
      <c r="B66" s="28" t="s">
        <v>49</v>
      </c>
      <c r="D66" s="22">
        <v>450000</v>
      </c>
      <c r="E66" s="22">
        <v>450000</v>
      </c>
      <c r="F66" s="141">
        <v>450000</v>
      </c>
    </row>
    <row r="67" spans="2:6" ht="17.25" x14ac:dyDescent="0.4">
      <c r="B67" s="28" t="s">
        <v>50</v>
      </c>
      <c r="D67" s="24">
        <v>1250000</v>
      </c>
      <c r="E67" s="24">
        <v>2000000</v>
      </c>
      <c r="F67" s="24">
        <f>E67+F47-F30</f>
        <v>2822039.0591764706</v>
      </c>
    </row>
    <row r="68" spans="2:6" ht="17.25" x14ac:dyDescent="0.4">
      <c r="B68" s="29" t="s">
        <v>51</v>
      </c>
      <c r="D68" s="24">
        <f>D66+D67</f>
        <v>1700000</v>
      </c>
      <c r="E68" s="24">
        <f>E66+E67</f>
        <v>2450000</v>
      </c>
      <c r="F68" s="24">
        <f>F66+F67</f>
        <v>3272039.0591764706</v>
      </c>
    </row>
    <row r="69" spans="2:6" ht="15.75" thickBot="1" x14ac:dyDescent="0.3">
      <c r="B69" s="30" t="s">
        <v>52</v>
      </c>
      <c r="C69" s="31"/>
      <c r="D69" s="26">
        <f>D65+D68</f>
        <v>2710000</v>
      </c>
      <c r="E69" s="26">
        <f>E65+E68</f>
        <v>3420000</v>
      </c>
      <c r="F69" s="26">
        <f>F65+F68</f>
        <v>4265586.8532941174</v>
      </c>
    </row>
    <row r="70" spans="2:6" ht="6" customHeight="1" x14ac:dyDescent="0.25"/>
    <row r="71" spans="2:6" ht="4.5" customHeight="1" thickBot="1" x14ac:dyDescent="0.3"/>
    <row r="72" spans="2:6" ht="15.75" thickBot="1" x14ac:dyDescent="0.3">
      <c r="C72" s="21" t="s">
        <v>286</v>
      </c>
      <c r="F72" s="20">
        <f>F69-F58</f>
        <v>788829.50035294099</v>
      </c>
    </row>
    <row r="73" spans="2:6" ht="10.5" customHeight="1" thickBot="1" x14ac:dyDescent="0.3">
      <c r="B73" s="31"/>
      <c r="C73" s="31"/>
      <c r="D73" s="26"/>
      <c r="E73" s="26"/>
      <c r="F73" s="26"/>
    </row>
  </sheetData>
  <mergeCells count="3">
    <mergeCell ref="C35:F35"/>
    <mergeCell ref="B49:F49"/>
    <mergeCell ref="C25:F25"/>
  </mergeCells>
  <pageMargins left="0.7" right="0.7" top="0.75" bottom="0.75" header="0.3" footer="0.3"/>
  <pageSetup scale="8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94"/>
  <sheetViews>
    <sheetView tabSelected="1" topLeftCell="A46" workbookViewId="0">
      <selection activeCell="E63" sqref="E63:E64"/>
    </sheetView>
  </sheetViews>
  <sheetFormatPr defaultRowHeight="15" x14ac:dyDescent="0.25"/>
  <cols>
    <col min="1" max="1" width="3" style="120" customWidth="1"/>
    <col min="2" max="2" width="9.140625" style="120"/>
    <col min="3" max="3" width="3.7109375" style="120" customWidth="1"/>
    <col min="4" max="4" width="3.28515625" style="120" customWidth="1"/>
    <col min="5" max="5" width="72.28515625" style="120" customWidth="1"/>
    <col min="6" max="6" width="11.42578125" style="120" bestFit="1" customWidth="1"/>
    <col min="7" max="7" width="12.140625" style="120" bestFit="1" customWidth="1"/>
    <col min="8" max="11" width="9.140625" style="120"/>
    <col min="12" max="12" width="9.42578125" style="120" bestFit="1" customWidth="1"/>
    <col min="13" max="13" width="11.7109375" style="120" customWidth="1"/>
    <col min="14" max="14" width="10.7109375" style="120" customWidth="1"/>
    <col min="15" max="16384" width="9.140625" style="120"/>
  </cols>
  <sheetData>
    <row r="2" spans="2:13" ht="18.75" x14ac:dyDescent="0.25">
      <c r="B2" s="113"/>
      <c r="E2" s="114" t="s">
        <v>225</v>
      </c>
    </row>
    <row r="3" spans="2:13" x14ac:dyDescent="0.25">
      <c r="B3" s="113"/>
      <c r="E3" s="115" t="s">
        <v>127</v>
      </c>
    </row>
    <row r="4" spans="2:13" x14ac:dyDescent="0.25">
      <c r="B4" s="113"/>
    </row>
    <row r="5" spans="2:13" x14ac:dyDescent="0.25">
      <c r="B5" s="113"/>
      <c r="E5" s="112" t="s">
        <v>128</v>
      </c>
    </row>
    <row r="6" spans="2:13" x14ac:dyDescent="0.25">
      <c r="E6" s="112" t="s">
        <v>129</v>
      </c>
    </row>
    <row r="7" spans="2:13" ht="15.75" thickBot="1" x14ac:dyDescent="0.3"/>
    <row r="8" spans="2:13" ht="15.75" thickBot="1" x14ac:dyDescent="0.3">
      <c r="B8" s="118" t="b">
        <v>1</v>
      </c>
      <c r="C8" s="119" t="s">
        <v>0</v>
      </c>
      <c r="D8" s="119"/>
      <c r="E8" s="150" t="s">
        <v>213</v>
      </c>
      <c r="L8" s="107"/>
      <c r="M8" s="107"/>
    </row>
    <row r="9" spans="2:13" ht="30.6" customHeight="1" x14ac:dyDescent="0.25">
      <c r="E9" s="150"/>
      <c r="L9" s="107"/>
      <c r="M9" s="107"/>
    </row>
    <row r="10" spans="2:13" ht="15.75" thickBot="1" x14ac:dyDescent="0.3">
      <c r="L10" s="107"/>
      <c r="M10" s="107"/>
    </row>
    <row r="11" spans="2:13" ht="18" customHeight="1" thickBot="1" x14ac:dyDescent="0.3">
      <c r="B11" s="118" t="b">
        <v>0</v>
      </c>
      <c r="C11" s="119" t="s">
        <v>1</v>
      </c>
      <c r="D11" s="119"/>
      <c r="E11" s="150" t="s">
        <v>287</v>
      </c>
      <c r="L11" s="107"/>
      <c r="M11" s="107"/>
    </row>
    <row r="12" spans="2:13" ht="18" customHeight="1" x14ac:dyDescent="0.25">
      <c r="E12" s="150"/>
      <c r="L12" s="107"/>
      <c r="M12" s="107"/>
    </row>
    <row r="13" spans="2:13" ht="15.75" thickBot="1" x14ac:dyDescent="0.3">
      <c r="L13" s="107"/>
      <c r="M13" s="107"/>
    </row>
    <row r="14" spans="2:13" ht="18" customHeight="1" thickBot="1" x14ac:dyDescent="0.3">
      <c r="B14" s="118" t="b">
        <v>1</v>
      </c>
      <c r="C14" s="119" t="s">
        <v>6</v>
      </c>
      <c r="D14" s="119"/>
      <c r="E14" s="150" t="s">
        <v>288</v>
      </c>
      <c r="L14" s="107"/>
      <c r="M14" s="107"/>
    </row>
    <row r="15" spans="2:13" x14ac:dyDescent="0.25">
      <c r="E15" s="150"/>
      <c r="L15" s="107"/>
      <c r="M15" s="107"/>
    </row>
    <row r="16" spans="2:13" ht="15.75" thickBot="1" x14ac:dyDescent="0.3">
      <c r="L16" s="107"/>
      <c r="M16" s="107"/>
    </row>
    <row r="17" spans="2:13" ht="15" customHeight="1" thickBot="1" x14ac:dyDescent="0.3">
      <c r="B17" s="118" t="b">
        <v>0</v>
      </c>
      <c r="C17" s="119" t="s">
        <v>7</v>
      </c>
      <c r="D17" s="119"/>
      <c r="E17" s="150" t="s">
        <v>224</v>
      </c>
      <c r="L17" s="107"/>
      <c r="M17" s="107"/>
    </row>
    <row r="18" spans="2:13" ht="25.9" customHeight="1" thickBot="1" x14ac:dyDescent="0.3">
      <c r="E18" s="150"/>
      <c r="L18" s="107"/>
      <c r="M18" s="107"/>
    </row>
    <row r="19" spans="2:13" ht="16.5" customHeight="1" thickBot="1" x14ac:dyDescent="0.3">
      <c r="B19" s="118" t="b">
        <v>1</v>
      </c>
      <c r="C19" s="119" t="s">
        <v>130</v>
      </c>
      <c r="D19" s="119"/>
      <c r="E19" s="150" t="s">
        <v>289</v>
      </c>
    </row>
    <row r="20" spans="2:13" ht="16.5" customHeight="1" x14ac:dyDescent="0.25">
      <c r="E20" s="150"/>
    </row>
    <row r="21" spans="2:13" ht="15.75" thickBot="1" x14ac:dyDescent="0.3"/>
    <row r="22" spans="2:13" ht="15.75" thickBot="1" x14ac:dyDescent="0.3">
      <c r="B22" s="118" t="s">
        <v>254</v>
      </c>
      <c r="C22" s="119" t="s">
        <v>131</v>
      </c>
      <c r="D22" s="119"/>
      <c r="E22" s="150" t="s">
        <v>214</v>
      </c>
    </row>
    <row r="23" spans="2:13" x14ac:dyDescent="0.25">
      <c r="E23" s="150"/>
    </row>
    <row r="24" spans="2:13" x14ac:dyDescent="0.25">
      <c r="D24" s="120" t="s">
        <v>132</v>
      </c>
      <c r="E24" s="120" t="s">
        <v>215</v>
      </c>
    </row>
    <row r="25" spans="2:13" x14ac:dyDescent="0.25">
      <c r="D25" s="120" t="s">
        <v>133</v>
      </c>
      <c r="E25" s="120" t="s">
        <v>216</v>
      </c>
    </row>
    <row r="26" spans="2:13" x14ac:dyDescent="0.25">
      <c r="D26" s="120" t="s">
        <v>134</v>
      </c>
      <c r="E26" s="120" t="s">
        <v>217</v>
      </c>
    </row>
    <row r="27" spans="2:13" x14ac:dyDescent="0.25">
      <c r="D27" s="120" t="s">
        <v>135</v>
      </c>
      <c r="E27" s="120" t="s">
        <v>218</v>
      </c>
    </row>
    <row r="28" spans="2:13" x14ac:dyDescent="0.25">
      <c r="D28" s="120" t="s">
        <v>136</v>
      </c>
      <c r="E28" s="120" t="s">
        <v>137</v>
      </c>
    </row>
    <row r="29" spans="2:13" ht="15.75" thickBot="1" x14ac:dyDescent="0.3"/>
    <row r="30" spans="2:13" ht="18.75" customHeight="1" thickBot="1" x14ac:dyDescent="0.3">
      <c r="B30" s="118" t="b">
        <v>0</v>
      </c>
      <c r="C30" s="119" t="s">
        <v>138</v>
      </c>
      <c r="D30" s="119"/>
      <c r="E30" s="150" t="s">
        <v>290</v>
      </c>
    </row>
    <row r="31" spans="2:13" ht="36" customHeight="1" x14ac:dyDescent="0.25">
      <c r="E31" s="150"/>
    </row>
    <row r="32" spans="2:13" ht="15.75" thickBot="1" x14ac:dyDescent="0.3"/>
    <row r="33" spans="2:5" ht="15.75" thickBot="1" x14ac:dyDescent="0.3">
      <c r="B33" s="118" t="s">
        <v>299</v>
      </c>
      <c r="C33" s="119" t="s">
        <v>139</v>
      </c>
      <c r="D33" s="119"/>
      <c r="E33" s="150" t="s">
        <v>298</v>
      </c>
    </row>
    <row r="34" spans="2:5" ht="44.25" customHeight="1" x14ac:dyDescent="0.25">
      <c r="E34" s="150"/>
    </row>
    <row r="35" spans="2:5" x14ac:dyDescent="0.25">
      <c r="D35" s="120" t="s">
        <v>132</v>
      </c>
      <c r="E35" s="120" t="s">
        <v>219</v>
      </c>
    </row>
    <row r="36" spans="2:5" x14ac:dyDescent="0.25">
      <c r="D36" s="120" t="s">
        <v>133</v>
      </c>
      <c r="E36" s="120" t="s">
        <v>220</v>
      </c>
    </row>
    <row r="37" spans="2:5" x14ac:dyDescent="0.25">
      <c r="D37" s="120" t="s">
        <v>134</v>
      </c>
      <c r="E37" s="120" t="s">
        <v>221</v>
      </c>
    </row>
    <row r="38" spans="2:5" x14ac:dyDescent="0.25">
      <c r="D38" s="120" t="s">
        <v>135</v>
      </c>
      <c r="E38" s="120" t="s">
        <v>193</v>
      </c>
    </row>
    <row r="39" spans="2:5" x14ac:dyDescent="0.25">
      <c r="D39" s="120" t="s">
        <v>136</v>
      </c>
      <c r="E39" s="120" t="s">
        <v>222</v>
      </c>
    </row>
    <row r="40" spans="2:5" ht="15.75" thickBot="1" x14ac:dyDescent="0.3"/>
    <row r="41" spans="2:5" ht="20.25" customHeight="1" thickBot="1" x14ac:dyDescent="0.3">
      <c r="B41" s="118" t="b">
        <v>1</v>
      </c>
      <c r="C41" s="119" t="s">
        <v>140</v>
      </c>
      <c r="D41" s="119"/>
      <c r="E41" s="140" t="s">
        <v>297</v>
      </c>
    </row>
    <row r="42" spans="2:5" ht="41.25" customHeight="1" x14ac:dyDescent="0.25">
      <c r="E42" s="140" t="s">
        <v>301</v>
      </c>
    </row>
    <row r="43" spans="2:5" ht="15.75" thickBot="1" x14ac:dyDescent="0.3">
      <c r="E43" s="129"/>
    </row>
    <row r="44" spans="2:5" ht="15.75" thickBot="1" x14ac:dyDescent="0.3">
      <c r="B44" s="118" t="s">
        <v>296</v>
      </c>
      <c r="C44" s="119" t="s">
        <v>141</v>
      </c>
      <c r="E44" s="121" t="s">
        <v>251</v>
      </c>
    </row>
    <row r="45" spans="2:5" x14ac:dyDescent="0.25">
      <c r="E45" s="121"/>
    </row>
    <row r="46" spans="2:5" x14ac:dyDescent="0.25">
      <c r="D46" s="120" t="s">
        <v>132</v>
      </c>
      <c r="E46" s="121" t="s">
        <v>294</v>
      </c>
    </row>
    <row r="47" spans="2:5" x14ac:dyDescent="0.25">
      <c r="D47" s="120" t="s">
        <v>133</v>
      </c>
      <c r="E47" s="129" t="s">
        <v>293</v>
      </c>
    </row>
    <row r="48" spans="2:5" x14ac:dyDescent="0.25">
      <c r="D48" s="120" t="s">
        <v>134</v>
      </c>
      <c r="E48" s="129" t="s">
        <v>252</v>
      </c>
    </row>
    <row r="49" spans="2:5" x14ac:dyDescent="0.25">
      <c r="D49" s="120" t="s">
        <v>135</v>
      </c>
      <c r="E49" s="129" t="s">
        <v>295</v>
      </c>
    </row>
    <row r="50" spans="2:5" x14ac:dyDescent="0.25">
      <c r="D50" s="120" t="s">
        <v>136</v>
      </c>
      <c r="E50" s="129" t="s">
        <v>253</v>
      </c>
    </row>
    <row r="51" spans="2:5" ht="15.75" thickBot="1" x14ac:dyDescent="0.3">
      <c r="E51" s="121"/>
    </row>
    <row r="52" spans="2:5" ht="15.75" thickBot="1" x14ac:dyDescent="0.3">
      <c r="B52" s="118" t="s">
        <v>227</v>
      </c>
      <c r="C52" s="119" t="s">
        <v>257</v>
      </c>
      <c r="E52" s="121" t="s">
        <v>255</v>
      </c>
    </row>
    <row r="53" spans="2:5" x14ac:dyDescent="0.25">
      <c r="E53" s="121"/>
    </row>
    <row r="54" spans="2:5" x14ac:dyDescent="0.25">
      <c r="D54" s="120" t="s">
        <v>132</v>
      </c>
      <c r="E54" s="121" t="s">
        <v>294</v>
      </c>
    </row>
    <row r="55" spans="2:5" x14ac:dyDescent="0.25">
      <c r="D55" s="120" t="s">
        <v>133</v>
      </c>
      <c r="E55" s="121" t="s">
        <v>293</v>
      </c>
    </row>
    <row r="56" spans="2:5" x14ac:dyDescent="0.25">
      <c r="D56" s="120" t="s">
        <v>134</v>
      </c>
      <c r="E56" s="121" t="s">
        <v>252</v>
      </c>
    </row>
    <row r="57" spans="2:5" x14ac:dyDescent="0.25">
      <c r="D57" s="120" t="s">
        <v>135</v>
      </c>
      <c r="E57" s="121" t="s">
        <v>295</v>
      </c>
    </row>
    <row r="58" spans="2:5" x14ac:dyDescent="0.25">
      <c r="D58" s="120" t="s">
        <v>136</v>
      </c>
      <c r="E58" s="121" t="s">
        <v>256</v>
      </c>
    </row>
    <row r="59" spans="2:5" ht="15.75" thickBot="1" x14ac:dyDescent="0.3">
      <c r="E59" s="121"/>
    </row>
    <row r="60" spans="2:5" ht="15.75" thickBot="1" x14ac:dyDescent="0.3">
      <c r="B60" s="118" t="b">
        <v>1</v>
      </c>
      <c r="C60" s="119" t="s">
        <v>258</v>
      </c>
      <c r="D60" s="119"/>
      <c r="E60" s="150" t="s">
        <v>302</v>
      </c>
    </row>
    <row r="61" spans="2:5" ht="18" customHeight="1" x14ac:dyDescent="0.25">
      <c r="E61" s="150"/>
    </row>
    <row r="62" spans="2:5" ht="15.75" thickBot="1" x14ac:dyDescent="0.3">
      <c r="E62" s="121"/>
    </row>
    <row r="63" spans="2:5" ht="15.75" thickBot="1" x14ac:dyDescent="0.3">
      <c r="B63" s="118" t="b">
        <v>0</v>
      </c>
      <c r="C63" s="119" t="s">
        <v>259</v>
      </c>
      <c r="D63" s="119"/>
      <c r="E63" s="150" t="s">
        <v>292</v>
      </c>
    </row>
    <row r="64" spans="2:5" x14ac:dyDescent="0.25">
      <c r="E64" s="150"/>
    </row>
    <row r="65" spans="1:8" ht="15.75" thickBot="1" x14ac:dyDescent="0.3">
      <c r="E65" s="121"/>
    </row>
    <row r="66" spans="1:8" ht="15.75" thickBot="1" x14ac:dyDescent="0.3">
      <c r="B66" s="118" t="b">
        <v>1</v>
      </c>
      <c r="C66" s="119" t="s">
        <v>260</v>
      </c>
      <c r="D66" s="119"/>
      <c r="E66" s="150" t="s">
        <v>291</v>
      </c>
    </row>
    <row r="67" spans="1:8" x14ac:dyDescent="0.25">
      <c r="E67" s="150"/>
    </row>
    <row r="68" spans="1:8" ht="15.75" thickBot="1" x14ac:dyDescent="0.3">
      <c r="E68" s="121"/>
    </row>
    <row r="69" spans="1:8" ht="15.75" thickBot="1" x14ac:dyDescent="0.3">
      <c r="B69" s="118" t="b">
        <v>0</v>
      </c>
      <c r="C69" s="119" t="s">
        <v>261</v>
      </c>
      <c r="D69" s="119"/>
      <c r="E69" s="150" t="s">
        <v>262</v>
      </c>
    </row>
    <row r="70" spans="1:8" x14ac:dyDescent="0.25">
      <c r="E70" s="150"/>
    </row>
    <row r="71" spans="1:8" x14ac:dyDescent="0.25">
      <c r="E71" s="121"/>
    </row>
    <row r="72" spans="1:8" x14ac:dyDescent="0.25">
      <c r="E72" s="121"/>
    </row>
    <row r="73" spans="1:8" x14ac:dyDescent="0.25">
      <c r="E73" s="121"/>
    </row>
    <row r="74" spans="1:8" x14ac:dyDescent="0.25">
      <c r="E74" s="121"/>
    </row>
    <row r="75" spans="1:8" x14ac:dyDescent="0.25">
      <c r="E75" s="121"/>
    </row>
    <row r="76" spans="1:8" x14ac:dyDescent="0.25">
      <c r="E76" s="121"/>
    </row>
    <row r="77" spans="1:8" ht="15.75" thickBot="1" x14ac:dyDescent="0.3"/>
    <row r="78" spans="1:8" ht="15.75" thickBot="1" x14ac:dyDescent="0.3">
      <c r="A78" s="151" t="s">
        <v>142</v>
      </c>
      <c r="B78" s="152"/>
      <c r="C78" s="152"/>
      <c r="D78" s="152"/>
      <c r="E78" s="152"/>
      <c r="F78" s="152"/>
      <c r="G78" s="152"/>
      <c r="H78" s="153"/>
    </row>
    <row r="80" spans="1:8" x14ac:dyDescent="0.25">
      <c r="A80" s="120">
        <v>1</v>
      </c>
      <c r="B80" s="120" t="b">
        <f>B8</f>
        <v>1</v>
      </c>
    </row>
    <row r="81" spans="1:2" x14ac:dyDescent="0.25">
      <c r="A81" s="120">
        <v>2</v>
      </c>
      <c r="B81" s="120" t="b">
        <f>B11</f>
        <v>0</v>
      </c>
    </row>
    <row r="82" spans="1:2" x14ac:dyDescent="0.25">
      <c r="A82" s="120">
        <v>3</v>
      </c>
      <c r="B82" s="120" t="b">
        <f>B14</f>
        <v>1</v>
      </c>
    </row>
    <row r="83" spans="1:2" x14ac:dyDescent="0.25">
      <c r="A83" s="120">
        <v>4</v>
      </c>
      <c r="B83" s="120" t="b">
        <f>B17</f>
        <v>0</v>
      </c>
    </row>
    <row r="84" spans="1:2" x14ac:dyDescent="0.25">
      <c r="A84" s="120">
        <v>5</v>
      </c>
      <c r="B84" s="120" t="b">
        <f>B19</f>
        <v>1</v>
      </c>
    </row>
    <row r="85" spans="1:2" x14ac:dyDescent="0.25">
      <c r="A85" s="120">
        <v>6</v>
      </c>
      <c r="B85" s="120" t="str">
        <f>B22</f>
        <v>B</v>
      </c>
    </row>
    <row r="86" spans="1:2" x14ac:dyDescent="0.25">
      <c r="A86" s="120">
        <v>7</v>
      </c>
      <c r="B86" s="120" t="b">
        <f>B30</f>
        <v>0</v>
      </c>
    </row>
    <row r="87" spans="1:2" x14ac:dyDescent="0.25">
      <c r="A87" s="120">
        <v>8</v>
      </c>
      <c r="B87" s="120" t="str">
        <f>B33</f>
        <v>D</v>
      </c>
    </row>
    <row r="88" spans="1:2" x14ac:dyDescent="0.25">
      <c r="A88" s="120">
        <v>9</v>
      </c>
      <c r="B88" s="120" t="b">
        <f>B41</f>
        <v>1</v>
      </c>
    </row>
    <row r="89" spans="1:2" x14ac:dyDescent="0.25">
      <c r="A89" s="120">
        <v>10</v>
      </c>
      <c r="B89" s="120" t="str">
        <f>B44</f>
        <v>A</v>
      </c>
    </row>
    <row r="90" spans="1:2" x14ac:dyDescent="0.25">
      <c r="A90" s="120">
        <v>11</v>
      </c>
      <c r="B90" s="120" t="str">
        <f>B52</f>
        <v>C</v>
      </c>
    </row>
    <row r="91" spans="1:2" x14ac:dyDescent="0.25">
      <c r="A91" s="120">
        <v>12</v>
      </c>
      <c r="B91" s="120" t="b">
        <f>B60</f>
        <v>1</v>
      </c>
    </row>
    <row r="92" spans="1:2" x14ac:dyDescent="0.25">
      <c r="A92" s="120">
        <v>13</v>
      </c>
      <c r="B92" s="120" t="b">
        <f>B63</f>
        <v>0</v>
      </c>
    </row>
    <row r="93" spans="1:2" x14ac:dyDescent="0.25">
      <c r="A93" s="120">
        <v>14</v>
      </c>
      <c r="B93" s="120" t="b">
        <f>B66</f>
        <v>1</v>
      </c>
    </row>
    <row r="94" spans="1:2" x14ac:dyDescent="0.25">
      <c r="A94" s="120">
        <v>15</v>
      </c>
      <c r="B94" s="120" t="b">
        <f>B69</f>
        <v>0</v>
      </c>
    </row>
  </sheetData>
  <mergeCells count="13">
    <mergeCell ref="E22:E23"/>
    <mergeCell ref="E8:E9"/>
    <mergeCell ref="E11:E12"/>
    <mergeCell ref="E14:E15"/>
    <mergeCell ref="E17:E18"/>
    <mergeCell ref="E19:E20"/>
    <mergeCell ref="E69:E70"/>
    <mergeCell ref="A78:H78"/>
    <mergeCell ref="E30:E31"/>
    <mergeCell ref="E33:E34"/>
    <mergeCell ref="E60:E61"/>
    <mergeCell ref="E63:E64"/>
    <mergeCell ref="E66:E6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INSTRUCTIONS</vt:lpstr>
      <vt:lpstr>P1 - 25 Pts</vt:lpstr>
      <vt:lpstr>P2 - 5 Pts</vt:lpstr>
      <vt:lpstr>P3 - 8 Pts</vt:lpstr>
      <vt:lpstr>P4 08 Pts</vt:lpstr>
      <vt:lpstr>P5 - 14 Pts</vt:lpstr>
      <vt:lpstr>P6 - 20 Pts</vt:lpstr>
      <vt:lpstr>MC-TF 20 Pts</vt:lpstr>
      <vt:lpstr>'P5 - 14 Pts'!OLE_LINK1</vt:lpstr>
      <vt:lpstr>Periods</vt:lpstr>
      <vt:lpstr>'P6 - 20 Pts'!Print_Area</vt:lpstr>
      <vt:lpstr>Rate</vt:lpstr>
      <vt:lpstr>Term</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Hawley, Del</cp:lastModifiedBy>
  <cp:lastPrinted>2014-10-21T18:57:34Z</cp:lastPrinted>
  <dcterms:created xsi:type="dcterms:W3CDTF">2010-01-13T00:10:02Z</dcterms:created>
  <dcterms:modified xsi:type="dcterms:W3CDTF">2015-07-21T16:17:56Z</dcterms:modified>
</cp:coreProperties>
</file>