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hawley\Dropbox\Class\Fall 2015\Exam 2\"/>
    </mc:Choice>
  </mc:AlternateContent>
  <bookViews>
    <workbookView xWindow="11250" yWindow="90" windowWidth="20130" windowHeight="7980" tabRatio="681" firstSheet="1" activeTab="1"/>
  </bookViews>
  <sheets>
    <sheet name="INSTRUCTIONS" sheetId="6"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s>
  <externalReferences>
    <externalReference r:id="rId9"/>
  </externalReferences>
  <definedNames>
    <definedName name="OLE_LINK1" localSheetId="5">'P5 - 20 Pts'!$C$65</definedName>
    <definedName name="Periods">'P1 - 20 Pts'!$O$21</definedName>
    <definedName name="Rate">'P1 - 20 Pts'!$F$23</definedName>
    <definedName name="Term">'P1 - 20 Pts'!$F$22</definedName>
  </definedNames>
  <calcPr calcId="152511"/>
</workbook>
</file>

<file path=xl/calcChain.xml><?xml version="1.0" encoding="utf-8"?>
<calcChain xmlns="http://schemas.openxmlformats.org/spreadsheetml/2006/main">
  <c r="F46" i="16" l="1"/>
  <c r="F42" i="16" l="1"/>
  <c r="F55" i="16"/>
  <c r="J20" i="11" l="1"/>
  <c r="D31" i="2" l="1"/>
  <c r="F38" i="16" l="1"/>
  <c r="D68" i="16" l="1"/>
  <c r="E63" i="16"/>
  <c r="E65" i="16" s="1"/>
  <c r="D63" i="16"/>
  <c r="D65" i="16" s="1"/>
  <c r="D69" i="16" s="1"/>
  <c r="I60" i="16"/>
  <c r="H60" i="16"/>
  <c r="J60" i="16" s="1"/>
  <c r="E57" i="16"/>
  <c r="D57" i="16"/>
  <c r="D58" i="16" s="1"/>
  <c r="E56" i="16"/>
  <c r="E54" i="16"/>
  <c r="E58" i="16" s="1"/>
  <c r="D54" i="16"/>
  <c r="I53" i="16"/>
  <c r="H53" i="16"/>
  <c r="J53" i="16" s="1"/>
  <c r="I52" i="16"/>
  <c r="H52" i="16"/>
  <c r="J52" i="16" s="1"/>
  <c r="D45" i="16"/>
  <c r="D46" i="16" s="1"/>
  <c r="D47" i="16" s="1"/>
  <c r="F44" i="16"/>
  <c r="D43" i="16"/>
  <c r="F56" i="16"/>
  <c r="J40" i="16"/>
  <c r="I40" i="16"/>
  <c r="H40" i="16"/>
  <c r="E39" i="16"/>
  <c r="E43" i="16" s="1"/>
  <c r="E45" i="16" s="1"/>
  <c r="D39" i="16"/>
  <c r="I38" i="16"/>
  <c r="J38" i="16" s="1"/>
  <c r="H38" i="16"/>
  <c r="F37" i="16"/>
  <c r="F57" i="16" l="1"/>
  <c r="F60" i="16"/>
  <c r="F63" i="16" s="1"/>
  <c r="F65" i="16" s="1"/>
  <c r="E46" i="16"/>
  <c r="E47" i="16"/>
  <c r="E67" i="16" s="1"/>
  <c r="F40" i="16"/>
  <c r="F52" i="16"/>
  <c r="F39" i="16"/>
  <c r="F53" i="16"/>
  <c r="F54" i="16" l="1"/>
  <c r="F58" i="16" s="1"/>
  <c r="F43" i="16"/>
  <c r="F45" i="16" s="1"/>
  <c r="E68" i="16"/>
  <c r="E69" i="16" s="1"/>
  <c r="F47" i="16" l="1"/>
  <c r="F67" i="16" s="1"/>
  <c r="F68" i="16" s="1"/>
  <c r="F69" i="16" s="1"/>
  <c r="F72" i="16" s="1"/>
  <c r="D107" i="1" l="1"/>
  <c r="E72" i="1" l="1"/>
  <c r="E73" i="1" s="1"/>
  <c r="E74" i="1" s="1"/>
  <c r="P52" i="11"/>
  <c r="P53" i="11" s="1"/>
  <c r="H20" i="11"/>
  <c r="H22" i="11" s="1"/>
  <c r="H24" i="11" s="1"/>
  <c r="H26" i="11" s="1"/>
  <c r="D34" i="1" l="1"/>
  <c r="O19" i="11"/>
  <c r="B94" i="15"/>
  <c r="B93" i="15"/>
  <c r="B92" i="15"/>
  <c r="B91" i="15"/>
  <c r="B90" i="15"/>
  <c r="B89" i="15"/>
  <c r="B88" i="15"/>
  <c r="B87" i="15"/>
  <c r="B86" i="15"/>
  <c r="B85" i="15"/>
  <c r="B84" i="15"/>
  <c r="B83" i="15"/>
  <c r="B82" i="15"/>
  <c r="B81" i="15"/>
  <c r="B80" i="15"/>
  <c r="E85" i="1"/>
  <c r="I20" i="14"/>
  <c r="E22" i="1"/>
  <c r="E23" i="1" s="1"/>
  <c r="E24" i="1" s="1"/>
  <c r="E25" i="1" s="1"/>
  <c r="F46" i="1"/>
  <c r="F45" i="1"/>
  <c r="F44" i="1"/>
  <c r="F43" i="1"/>
  <c r="P18" i="11"/>
  <c r="G19" i="10"/>
  <c r="G30" i="2"/>
  <c r="O21" i="2"/>
  <c r="D85" i="2" s="1"/>
  <c r="E75" i="1" l="1"/>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D47" i="2"/>
  <c r="E83" i="2"/>
  <c r="G69" i="2"/>
  <c r="F89" i="2"/>
  <c r="G86" i="2"/>
  <c r="E84" i="2"/>
  <c r="F81" i="2"/>
  <c r="G78" i="2"/>
  <c r="E76" i="2"/>
  <c r="F73" i="2"/>
  <c r="G70" i="2"/>
  <c r="E68" i="2"/>
  <c r="D71" i="2"/>
  <c r="D67" i="2"/>
  <c r="D61" i="2"/>
  <c r="D51" i="2"/>
  <c r="D54" i="2"/>
  <c r="D65" i="2"/>
  <c r="D40" i="2"/>
  <c r="D43" i="2"/>
  <c r="D37" i="2"/>
  <c r="D50" i="2"/>
  <c r="D57" i="2"/>
  <c r="D60" i="2"/>
  <c r="D64" i="2"/>
  <c r="D46" i="2"/>
  <c r="D53" i="2"/>
  <c r="D56" i="2"/>
  <c r="D39" i="2"/>
  <c r="D42" i="2"/>
  <c r="F31" i="2"/>
  <c r="G31" i="2" s="1"/>
  <c r="D36" i="2"/>
  <c r="D52" i="2"/>
  <c r="D32" i="2"/>
  <c r="D63" i="2"/>
  <c r="D66" i="2"/>
  <c r="D49" i="2"/>
  <c r="D38" i="2"/>
  <c r="D33" i="2"/>
  <c r="D59" i="2"/>
  <c r="D62" i="2"/>
  <c r="D45" i="2"/>
  <c r="D48" i="2"/>
  <c r="D34" i="2"/>
  <c r="D55" i="2"/>
  <c r="D58" i="2"/>
  <c r="D41" i="2"/>
  <c r="D44" i="2"/>
  <c r="I28" i="14" l="1"/>
  <c r="O21" i="11"/>
  <c r="P20" i="11"/>
  <c r="H22" i="2"/>
  <c r="D35" i="2"/>
  <c r="E32" i="2"/>
  <c r="F32" i="2" s="1"/>
  <c r="G32" i="2" s="1"/>
  <c r="I21" i="14" l="1"/>
  <c r="I29" i="14"/>
  <c r="O22" i="11"/>
  <c r="P21" i="11"/>
  <c r="E33" i="2"/>
  <c r="F33" i="2" s="1"/>
  <c r="G33" i="2" s="1"/>
  <c r="I22" i="14" l="1"/>
  <c r="I30" i="14"/>
  <c r="I23" i="14" s="1"/>
  <c r="P22" i="11"/>
  <c r="O23" i="11"/>
  <c r="E34" i="2"/>
  <c r="F34" i="2" s="1"/>
  <c r="G34" i="2" s="1"/>
  <c r="P23" i="11" l="1"/>
  <c r="O24" i="11"/>
  <c r="E35" i="2"/>
  <c r="F35" i="2" s="1"/>
  <c r="G35" i="2" s="1"/>
  <c r="P24" i="11" l="1"/>
  <c r="O25" i="11"/>
  <c r="E36" i="2"/>
  <c r="F36" i="2" s="1"/>
  <c r="G36" i="2" s="1"/>
  <c r="P25" i="11" l="1"/>
  <c r="O26" i="11"/>
  <c r="E37" i="2"/>
  <c r="F37" i="2" s="1"/>
  <c r="G37" i="2" s="1"/>
  <c r="P26" i="11" l="1"/>
  <c r="O27" i="11"/>
  <c r="E38" i="2"/>
  <c r="F38" i="2" s="1"/>
  <c r="G38" i="2" s="1"/>
  <c r="O28" i="11" l="1"/>
  <c r="P27" i="11"/>
  <c r="E39" i="2"/>
  <c r="F39" i="2" s="1"/>
  <c r="G39" i="2" s="1"/>
  <c r="O29" i="11" l="1"/>
  <c r="P28" i="11"/>
  <c r="E40" i="2"/>
  <c r="F40" i="2" s="1"/>
  <c r="G40" i="2" s="1"/>
  <c r="O30" i="11" l="1"/>
  <c r="P29" i="11"/>
  <c r="E41" i="2"/>
  <c r="F41" i="2" s="1"/>
  <c r="G41" i="2" s="1"/>
  <c r="O31" i="11" l="1"/>
  <c r="P30" i="11"/>
  <c r="E42" i="2"/>
  <c r="F42" i="2" s="1"/>
  <c r="G42" i="2" s="1"/>
  <c r="P31" i="11" l="1"/>
  <c r="O32" i="11"/>
  <c r="E43" i="2"/>
  <c r="F43" i="2" s="1"/>
  <c r="G43" i="2" s="1"/>
  <c r="P32" i="11" l="1"/>
  <c r="O33" i="11"/>
  <c r="E44" i="2"/>
  <c r="F44" i="2" s="1"/>
  <c r="G44" i="2" s="1"/>
  <c r="P33" i="11" l="1"/>
  <c r="O34" i="11"/>
  <c r="E45" i="2"/>
  <c r="F45" i="2" s="1"/>
  <c r="G45" i="2" s="1"/>
  <c r="O35" i="11" l="1"/>
  <c r="P34" i="11"/>
  <c r="E46" i="2"/>
  <c r="F46" i="2" s="1"/>
  <c r="G46" i="2" s="1"/>
  <c r="O36" i="11" l="1"/>
  <c r="P35" i="11"/>
  <c r="E47" i="2"/>
  <c r="F47" i="2" s="1"/>
  <c r="G47" i="2" s="1"/>
  <c r="O37" i="11" l="1"/>
  <c r="P36" i="11"/>
  <c r="E48" i="2"/>
  <c r="F48" i="2" s="1"/>
  <c r="G48" i="2"/>
  <c r="P37" i="11" l="1"/>
  <c r="O38" i="11"/>
  <c r="E49" i="2"/>
  <c r="F49" i="2" s="1"/>
  <c r="G49" i="2" s="1"/>
  <c r="O39" i="11" l="1"/>
  <c r="P38" i="11"/>
  <c r="E50" i="2"/>
  <c r="F50" i="2" s="1"/>
  <c r="G50" i="2" s="1"/>
  <c r="P39" i="11" l="1"/>
  <c r="O40" i="11"/>
  <c r="E51" i="2"/>
  <c r="F51" i="2" s="1"/>
  <c r="G51" i="2" s="1"/>
  <c r="P40" i="11" l="1"/>
  <c r="O41" i="11"/>
  <c r="E52" i="2"/>
  <c r="F52" i="2" s="1"/>
  <c r="G52" i="2" s="1"/>
  <c r="P41" i="11" l="1"/>
  <c r="O42" i="11"/>
  <c r="E53" i="2"/>
  <c r="F53" i="2" s="1"/>
  <c r="G53" i="2" s="1"/>
  <c r="O43" i="11" l="1"/>
  <c r="P42" i="11"/>
  <c r="E54" i="2"/>
  <c r="F54" i="2" s="1"/>
  <c r="G54" i="2" s="1"/>
  <c r="O44" i="11" l="1"/>
  <c r="P43" i="11"/>
  <c r="E55" i="2"/>
  <c r="F55" i="2" s="1"/>
  <c r="G55" i="2" s="1"/>
  <c r="O45" i="11" l="1"/>
  <c r="P44" i="11"/>
  <c r="E56" i="2"/>
  <c r="F56" i="2" s="1"/>
  <c r="G56" i="2" s="1"/>
  <c r="O46" i="11" l="1"/>
  <c r="P45" i="11"/>
  <c r="E57" i="2"/>
  <c r="F57" i="2" s="1"/>
  <c r="G57" i="2" s="1"/>
  <c r="O47" i="11" l="1"/>
  <c r="O48" i="11" s="1"/>
  <c r="P46" i="11"/>
  <c r="E58" i="2"/>
  <c r="F58" i="2" s="1"/>
  <c r="G58" i="2" s="1"/>
  <c r="P47" i="11" l="1"/>
  <c r="P48" i="11" s="1"/>
  <c r="P49" i="11" s="1"/>
  <c r="P50" i="11" s="1"/>
  <c r="P51"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E59" i="2"/>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<sst xmlns="http://schemas.openxmlformats.org/spreadsheetml/2006/main" count="351" uniqueCount="301">
  <si>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</si>
  <si>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</si>
  <si>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</si>
  <si>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</si>
  <si>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</si>
  <si>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</si>
  <si>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</si>
  <si>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</si>
  <si>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</si>
  <si>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</si>
  <si>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</si>
  <si>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</si>
  <si>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</si>
  <si>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</si>
  <si>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</si>
  <si>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</si>
  <si>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</si>
  <si>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</si>
  <si>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</si>
  <si>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</si>
  <si>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</si>
  <si>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</si>
  <si>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</si>
  <si>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</si>
  <si>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</si>
  <si>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</si>
  <si>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</si>
  <si>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</si>
  <si>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</si>
  <si>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</si>
  <si>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</si>
  <si>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</si>
  <si>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</si>
  <si>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</si>
  <si>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</si>
  <si>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</si>
  <si>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</si>
  <si>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</si>
  <si>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</si>
  <si>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</si>
  <si>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</si>
  <si>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</si>
  <si>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</si>
  <si>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</si>
  <si>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</si>
  <si>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</si>
  <si>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</si>
  <si>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</si>
  <si>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</si>
  <si>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</si>
  <si>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</si>
  <si>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</si>
  <si>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</si>
  <si>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</si>
  <si>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</si>
  <si>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</si>
  <si>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</si>
  <si>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</si>
  <si>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</si>
  <si>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</si>
  <si>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</si>
  <si>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</si>
  <si>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</si>
  <si>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</si>
  <si>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</si>
  <si>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</si>
  <si>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</si>
  <si>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</si>
  <si>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</si>
  <si>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</si>
  <si>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</si>
  <si>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</si>
  <si>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</si>
  <si>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</si>
  <si>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</si>
  <si>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</si>
  <si>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</si>
  <si>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</si>
  <si>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</si>
  <si>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</si>
  <si>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</si>
  <si>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</si>
  <si>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</si>
  <si>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</si>
  <si>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</si>
  <si>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</si>
  <si>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</si>
  <si>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</si>
  <si>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</si>
  <si>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</si>
  <si>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</si>
  <si>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</si>
  <si>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</si>
  <si>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</si>
  <si>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</si>
  <si>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</si>
  <si>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</si>
  <si>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</si>
  <si>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</si>
  <si>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</si>
  <si>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</si>
  <si>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</si>
  <si>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</si>
  <si>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</si>
  <si>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</si>
  <si>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</si>
  <si>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</si>
  <si>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</si>
  <si>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</si>
  <si>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</si>
  <si>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</si>
  <si>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</si>
  <si>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</si>
  <si>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</si>
  <si>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</si>
  <si>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</si>
  <si>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</si>
  <si>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</si>
  <si>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</si>
  <si>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</si>
  <si>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</si>
  <si>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</si>
  <si>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</si>
  <si>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</si>
  <si>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</si>
  <si>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-2 Points for each incorrect answer.</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</si>
  <si>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</si>
  <si>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</si>
  <si>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</si>
  <si>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</si>
  <si>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</si>
  <si>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</si>
  <si>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</si>
  <si>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</si>
  <si>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</si>
  <si>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</si>
  <si>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</si>
  <si>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</si>
  <si>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</si>
  <si>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</si>
  <si>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</si>
  <si>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</si>
  <si>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</si>
  <si>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</si>
  <si>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</si>
  <si>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</si>
  <si>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</si>
  <si>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</si>
  <si>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</si>
  <si>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</si>
  <si>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</si>
  <si>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</si>
  <si>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</si>
  <si>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</si>
  <si>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</si>
  <si>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</si>
  <si>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</si>
  <si>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</si>
  <si>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</si>
  <si>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</si>
  <si>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</si>
  <si>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</si>
  <si>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</si>
  <si>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</si>
  <si>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</si>
  <si>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</si>
  <si>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</si>
  <si>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Deposit 27</t>
  </si>
  <si>
    <t>Deposit 28</t>
  </si>
  <si>
    <t>Deposit 29</t>
  </si>
  <si>
    <t>Deposit 30</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</si>
  <si>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</si>
  <si>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</si>
  <si>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</si>
  <si>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</si>
  <si>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</si>
  <si>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</si>
  <si>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</si>
  <si>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</si>
  <si>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</si>
  <si>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</si>
  <si>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</si>
  <si>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</si>
  <si>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</si>
  <si>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</si>
  <si>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</si>
  <si>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</si>
  <si>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</si>
  <si>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</si>
  <si>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</si>
  <si>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</si>
  <si>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</si>
  <si>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</si>
  <si>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</si>
  <si>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</si>
  <si>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</si>
  <si>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</si>
  <si>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</si>
  <si>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</si>
  <si>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</si>
  <si>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</si>
  <si>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</si>
  <si>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</si>
  <si>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</si>
  <si>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</si>
  <si>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</si>
  <si>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</si>
  <si>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</si>
  <si>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</si>
  <si>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</si>
  <si>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</si>
  <si>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the discount rate decreases as the risk of an investment increases.</t>
  </si>
  <si>
    <t>as the discount rate increases, the future value of an investment increases.</t>
  </si>
  <si>
    <t>as the discount rate increases, the present value of an investment increases.</t>
  </si>
  <si>
    <t>A and B are both correct.</t>
  </si>
  <si>
    <t>Accounts receivable</t>
  </si>
  <si>
    <t>Account payable</t>
  </si>
  <si>
    <t>Inventory</t>
  </si>
  <si>
    <t>All of the above would typically maintain the same percentage relationship to sales.</t>
  </si>
  <si>
    <t>t</t>
  </si>
  <si>
    <t>According to financial theory, investors who take more risk make higher returns than those who take less risk. (True or false?)</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</si>
  <si>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</si>
  <si>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</si>
  <si>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</si>
  <si>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</si>
  <si>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</si>
  <si>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</si>
  <si>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</si>
  <si>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</si>
  <si>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</si>
  <si>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</si>
  <si>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</si>
  <si>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</si>
  <si>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</si>
  <si>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</si>
  <si>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</si>
  <si>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</si>
  <si>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</si>
  <si>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</si>
  <si>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</si>
  <si>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</si>
  <si>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</si>
  <si>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 xml:space="preserve">if the discount rate is 8% per year compounded annually. The four missing cash flows, </t>
  </si>
  <si>
    <t>There are 8 tabbed pages in this exam spreadsheet including this one.</t>
  </si>
  <si>
    <t>The slope of the security market line (SML) will increase when</t>
  </si>
  <si>
    <t>Expected inflation increases</t>
  </si>
  <si>
    <t>More than one of the above</t>
  </si>
  <si>
    <t>B</t>
  </si>
  <si>
    <t>The height (y-intercept) of the SML will increase for all of the following except</t>
  </si>
  <si>
    <t>More than one of the above is an exception</t>
  </si>
  <si>
    <t>11.</t>
  </si>
  <si>
    <t>12.</t>
  </si>
  <si>
    <t>13.</t>
  </si>
  <si>
    <t>14.</t>
  </si>
  <si>
    <t>15.</t>
  </si>
  <si>
    <t>The "real" rate of interest increases as the risk of an investment increases, other things equal.  (True or false?)</t>
  </si>
  <si>
    <t xml:space="preserve">for the first four years, but then will pay an equal amount each year for 5 years, and then </t>
  </si>
  <si>
    <t>Your formulas should work for any reasonable value of the input. [3 Points]</t>
  </si>
  <si>
    <t>$X</t>
  </si>
  <si>
    <t>given in the input cell. [2 Points]</t>
  </si>
  <si>
    <t>A series of identical cash flows that are expected to occur at equal time periods for a specified number of periods is a perpetuity.  (True or false?)</t>
  </si>
  <si>
    <t>The present value of a current deposit decreases as the expected rate of inflation increases, other things equal.  (True or False?)</t>
  </si>
  <si>
    <t>The beta (β) coefficient is a measure of a stock's undiversifiable risk when it is held in a large portfolio of stocks. (True or false?)</t>
  </si>
  <si>
    <t>In a world with no risk and no inflation, rational investors would require the risk-free rate of interest to lend their money to someone else for a period of time.  (True or False?)</t>
  </si>
  <si>
    <t>A borrower would always prefer a longer compounding period for interest than a shorter compounding period, other things equal.  (True or false?)</t>
  </si>
  <si>
    <t>For any positive interest rate, decreasing the compounding frequency will increase the future value of an investment.  (True or false?)</t>
  </si>
  <si>
    <t>The real rate of interest decreases</t>
  </si>
  <si>
    <t>Investor risk aversion increases</t>
  </si>
  <si>
    <t>The risk premium on the market portfolio decreases</t>
  </si>
  <si>
    <t>A</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</si>
  <si>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</si>
  <si>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</si>
  <si>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D</t>
  </si>
  <si>
    <t>rate on the loan only if the interest on the loan is compounded annually.. (True or false?)</t>
  </si>
  <si>
    <t>Any stock that is less sensitive than average to changes in general economic conditions will have a beta coefficient less than one.  (True or false?)</t>
  </si>
  <si>
    <t>your retirement account to pay out $150,000 per year for 25 years starting on January 1, 2050.</t>
  </si>
  <si>
    <t>The account will have a zero balance after the 25 withdrawals. There will be one payout per year.</t>
  </si>
  <si>
    <t>You plan to make annual deposits into your retirement account on January 1 of every year from 2016</t>
  </si>
  <si>
    <t xml:space="preserve">to 2046 (31 deposits). The first deposit will be $5,000. The remaining 30 deposits will all be equal to each other, </t>
  </si>
  <si>
    <t>PV of above on 01/01/2016</t>
  </si>
  <si>
    <t>Amount of each of the 30 regular payments that</t>
  </si>
  <si>
    <t>Deposit 31</t>
  </si>
  <si>
    <t>Amount needed on 1/1/2050</t>
  </si>
  <si>
    <t>The total present value of all 11 cash flows, including the four missing ones, is $7,500</t>
  </si>
  <si>
    <t>PV at t=0 of all known CFs</t>
  </si>
  <si>
    <t>Value of unknowns at t=5</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</si>
  <si>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</si>
  <si>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</si>
  <si>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</si>
  <si>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t xml:space="preserve">the EBIT from the table at the right for the year </t>
  </si>
  <si>
    <t>projects estimated sales through 2018.  The x-axis should list the individual years</t>
  </si>
  <si>
    <t>10 years of sales and uses it to estimate 2016 sales. [3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</si>
  <si>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</si>
  <si>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 xml:space="preserve">Problem 5 for the years 2006 to 2015, and that includes a linear trendline that </t>
  </si>
  <si>
    <t xml:space="preserve"> and begin with 2006 and end with 2018. The y-axis should be sales in dollars. [5 Points]</t>
  </si>
  <si>
    <t>Percent Change in Sales from 2014</t>
  </si>
  <si>
    <t>Tax Rate for 2015</t>
  </si>
  <si>
    <t>Common Stock Dividend for 2015</t>
  </si>
  <si>
    <t>Expected addition to Plant and Equipment in 2015</t>
  </si>
  <si>
    <t>Additional depreciation on new Plant/Equip in 2015</t>
  </si>
  <si>
    <t>Excess/(Deficit) Financing for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</si>
</sst>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5">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11" fillId="0" borderId="0" xfId="0" applyFont="1"/>
    <xf numFmtId="0" fontId="13"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3" fillId="4" borderId="20" xfId="0" applyFont="1" applyFill="1" applyBorder="1" applyAlignment="1">
      <alignment horizontal="center"/>
    </xf>
    <xf numFmtId="164" fontId="0" fillId="4" borderId="19" xfId="2" applyNumberFormat="1" applyFont="1" applyFill="1" applyBorder="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1" xfId="0" applyBorder="1"/>
    <xf numFmtId="14" fontId="0" fillId="0" borderId="21" xfId="0" applyNumberFormat="1" applyBorder="1"/>
    <xf numFmtId="0" fontId="0" fillId="0" borderId="21" xfId="0" applyBorder="1" applyAlignment="1">
      <alignment horizontal="left" indent="1"/>
    </xf>
    <xf numFmtId="8" fontId="0" fillId="0" borderId="21" xfId="0" applyNumberFormat="1"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0" fillId="2" borderId="0" xfId="0" applyNumberFormat="1" applyFill="1"/>
    <xf numFmtId="41" fontId="5" fillId="2" borderId="0" xfId="0" applyNumberFormat="1" applyFont="1" applyFill="1"/>
    <xf numFmtId="0" fontId="3" fillId="2" borderId="14" xfId="0" applyFont="1" applyFill="1" applyBorder="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4"/>
            <c:dispRSqr val="0"/>
            <c:dispEq val="0"/>
          </c:trendline>
          <c:trendline>
            <c:spPr>
              <a:ln w="19050" cap="rnd">
                <a:solidFill>
                  <a:schemeClr val="accent1"/>
                </a:solidFill>
                <a:prstDash val="sysDot"/>
              </a:ln>
              <a:effectLst/>
            </c:spPr>
            <c:trendlineType val="linear"/>
            <c:dispRSqr val="0"/>
            <c:dispEq val="0"/>
          </c:trendline>
          <c:xVal>
            <c:numRef>
              <c:f>'[1]P5 - 20 Pts'!$C$96:$C$106</c:f>
              <c:numCache>
                <c:formatCode>General</c:formatCode>
                <c:ptCount val="11"/>
                <c:pt idx="0">
                  <c:v>2006</c:v>
                </c:pt>
                <c:pt idx="1">
                  <c:v>2007</c:v>
                </c:pt>
                <c:pt idx="2">
                  <c:v>2008</c:v>
                </c:pt>
                <c:pt idx="3">
                  <c:v>2009</c:v>
                </c:pt>
                <c:pt idx="4">
                  <c:v>2010</c:v>
                </c:pt>
                <c:pt idx="5">
                  <c:v>2011</c:v>
                </c:pt>
                <c:pt idx="6">
                  <c:v>2012</c:v>
                </c:pt>
                <c:pt idx="7">
                  <c:v>2013</c:v>
                </c:pt>
                <c:pt idx="8">
                  <c:v>2014</c:v>
                </c:pt>
                <c:pt idx="9">
                  <c:v>2015</c:v>
                </c:pt>
              </c:numCache>
            </c:numRef>
          </c:xVal>
          <c:yVal>
            <c:numRef>
              <c:f>'[1]P5 - 20 Pts'!$D$96:$D$106</c:f>
              <c:numCache>
                <c:formatCode>General</c:formatCode>
                <c:ptCount val="11"/>
                <c:pt idx="0">
                  <c:v>1075050</c:v>
                </c:pt>
                <c:pt idx="1">
                  <c:v>948500</c:v>
                </c:pt>
                <c:pt idx="2">
                  <c:v>1200000</c:v>
                </c:pt>
                <c:pt idx="3">
                  <c:v>1289000</c:v>
                </c:pt>
                <c:pt idx="4">
                  <c:v>1426000</c:v>
                </c:pt>
                <c:pt idx="5">
                  <c:v>1560000</c:v>
                </c:pt>
                <c:pt idx="6">
                  <c:v>1755000</c:v>
                </c:pt>
                <c:pt idx="7">
                  <c:v>1654000</c:v>
                </c:pt>
                <c:pt idx="8">
                  <c:v>1924500</c:v>
                </c:pt>
                <c:pt idx="9">
                  <c:v>2000391.6666666865</c:v>
                </c:pt>
              </c:numCache>
            </c:numRef>
          </c:yVal>
          <c:smooth val="0"/>
        </c:ser>
        <c:dLbls>
          <c:showLegendKey val="0"/>
          <c:showVal val="0"/>
          <c:showCatName val="0"/>
          <c:showSerName val="0"/>
          <c:showPercent val="0"/>
          <c:showBubbleSize val="0"/>
        </c:dLbls>
        <c:axId val="-1412453120"/>
        <c:axId val="-1412448224"/>
      </c:scatterChart>
      <c:valAx>
        <c:axId val="-1412453120"/>
        <c:scaling>
          <c:orientation val="minMax"/>
          <c:max val="2018"/>
          <c:min val="200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29</xdr:row>
      <xdr:rowOff>58420</xdr:rowOff>
    </xdr:from>
    <xdr:to>
      <xdr:col>9</xdr:col>
      <xdr:colOff>87630</xdr:colOff>
      <xdr:row>35</xdr:row>
      <xdr:rowOff>77470</xdr:rowOff>
    </xdr:to>
    <xdr:sp macro="" textlink="">
      <xdr:nvSpPr>
        <xdr:cNvPr id="2" name="Rounded Rectangle 1"/>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114</xdr:row>
      <xdr:rowOff>38101</xdr:rowOff>
    </xdr:from>
    <xdr:to>
      <xdr:col>7</xdr:col>
      <xdr:colOff>457201</xdr:colOff>
      <xdr:row>128</xdr:row>
      <xdr:rowOff>114301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2015 pro forma income statement and balance sheet for the firm whose 2013 and 2014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2015 is expected to change with sales by 105% of the two-year arithmetic average of the proportion of this item in relation to sales</a:t>
          </a:r>
          <a:r>
            <a:rPr lang="en-US" sz="1100" b="1" baseline="0">
              <a:solidFill>
                <a:schemeClr val="dk1"/>
              </a:solidFill>
              <a:effectLst/>
              <a:latin typeface="+mn-lt"/>
              <a:ea typeface="+mn-ea"/>
              <a:cs typeface="+mn-cs"/>
            </a:rPr>
            <a:t> for 2013 and 2014.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2013 and 2014</a:t>
          </a:r>
          <a:r>
            <a:rPr lang="en-US" sz="1100" b="1">
              <a:solidFill>
                <a:schemeClr val="dk1"/>
              </a:solidFill>
              <a:effectLst/>
              <a:latin typeface="+mn-lt"/>
              <a:ea typeface="+mn-ea"/>
              <a:cs typeface="+mn-cs"/>
            </a:rPr>
            <a:t>.  The firm has planned an investment of $325,000 in new equipment </a:t>
          </a:r>
          <a:r>
            <a:rPr lang="en-US" sz="1100" b="1" baseline="0">
              <a:solidFill>
                <a:schemeClr val="dk1"/>
              </a:solidFill>
              <a:effectLst/>
              <a:latin typeface="+mn-lt"/>
              <a:ea typeface="+mn-ea"/>
              <a:cs typeface="+mn-cs"/>
            </a:rPr>
            <a:t>in 2015.  This equipment will be depreciated at $65,000 per year. Depreciation on existing Plant/Equipment will be the same as it was in 2014.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2015 is computed on the 2014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2015 using the information above, the inputs below, and the values that are given in the statements. The 2015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2015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twoCellAnchor>
    <xdr:from>
      <xdr:col>7</xdr:col>
      <xdr:colOff>266699</xdr:colOff>
      <xdr:row>40</xdr:row>
      <xdr:rowOff>95249</xdr:rowOff>
    </xdr:from>
    <xdr:to>
      <xdr:col>14</xdr:col>
      <xdr:colOff>523874</xdr:colOff>
      <xdr:row>48</xdr:row>
      <xdr:rowOff>9524</xdr:rowOff>
    </xdr:to>
    <xdr:sp macro="" textlink="">
      <xdr:nvSpPr>
        <xdr:cNvPr id="3" name="Rectangle 2"/>
        <xdr:cNvSpPr/>
      </xdr:nvSpPr>
      <xdr:spPr>
        <a:xfrm>
          <a:off x="7296149" y="7896224"/>
          <a:ext cx="4467225" cy="14382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Note: Since the inputs</a:t>
          </a:r>
          <a:r>
            <a:rPr lang="en-US" sz="1100" baseline="0"/>
            <a:t> for this problem resulted in negative earnings before taxes, I did accept taxes being zero with no penalty.  GAAP rules on tax loss carryback would allow the loss in 2015 to be applied to earlier years gains, but that is beyond the scope of this class. The main point is that the model here needs to work for all reasonable inputs, but the tax entry was not constructed in our examples to account for this situation so a accepted either method for this entry.</a:t>
          </a:r>
          <a:endParaRPr lang="en-US" sz="1100"/>
        </a:p>
      </xdr:txBody>
    </xdr:sp>
    <xdr:clientData/>
  </xdr:twoCellAnchor>
  <xdr:twoCellAnchor>
    <xdr:from>
      <xdr:col>6</xdr:col>
      <xdr:colOff>104775</xdr:colOff>
      <xdr:row>45</xdr:row>
      <xdr:rowOff>85725</xdr:rowOff>
    </xdr:from>
    <xdr:to>
      <xdr:col>7</xdr:col>
      <xdr:colOff>247650</xdr:colOff>
      <xdr:row>45</xdr:row>
      <xdr:rowOff>95250</xdr:rowOff>
    </xdr:to>
    <xdr:cxnSp macro="">
      <xdr:nvCxnSpPr>
        <xdr:cNvPr id="5" name="Straight Arrow Connector 4"/>
        <xdr:cNvCxnSpPr/>
      </xdr:nvCxnSpPr>
      <xdr:spPr>
        <a:xfrm>
          <a:off x="6858000" y="8896350"/>
          <a:ext cx="4191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25</xdr:row>
      <xdr:rowOff>104775</xdr:rowOff>
    </xdr:from>
    <xdr:to>
      <xdr:col>12</xdr:col>
      <xdr:colOff>247650</xdr:colOff>
      <xdr:row>33</xdr:row>
      <xdr:rowOff>133350</xdr:rowOff>
    </xdr:to>
    <xdr:sp macro="" textlink="">
      <xdr:nvSpPr>
        <xdr:cNvPr id="6" name="Rectangle 5"/>
        <xdr:cNvSpPr/>
      </xdr:nvSpPr>
      <xdr:spPr>
        <a:xfrm>
          <a:off x="7105650" y="4933950"/>
          <a:ext cx="3219450" cy="14668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Note: Th</a:t>
          </a:r>
          <a:r>
            <a:rPr lang="en-US" sz="1100" baseline="0"/>
            <a:t>e inputs shown here for Plant/Euipment and additional depreciation do not agree with the text of the problem above. I did not carry those changes in the text to the input section. This didn't matter in the grading since the point was to make a model that worked for any inputs, so full credit was given regardless of what you used as input values.</a:t>
          </a:r>
          <a:endParaRPr lang="en-US" sz="1100"/>
        </a:p>
      </xdr:txBody>
    </xdr:sp>
    <xdr:clientData/>
  </xdr:twoCellAnchor>
  <xdr:twoCellAnchor>
    <xdr:from>
      <xdr:col>6</xdr:col>
      <xdr:colOff>66675</xdr:colOff>
      <xdr:row>30</xdr:row>
      <xdr:rowOff>104775</xdr:rowOff>
    </xdr:from>
    <xdr:to>
      <xdr:col>7</xdr:col>
      <xdr:colOff>19050</xdr:colOff>
      <xdr:row>30</xdr:row>
      <xdr:rowOff>114300</xdr:rowOff>
    </xdr:to>
    <xdr:cxnSp macro="">
      <xdr:nvCxnSpPr>
        <xdr:cNvPr id="8" name="Straight Arrow Connector 7"/>
        <xdr:cNvCxnSpPr/>
      </xdr:nvCxnSpPr>
      <xdr:spPr>
        <a:xfrm>
          <a:off x="6819900" y="5895975"/>
          <a:ext cx="2286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31</xdr:row>
      <xdr:rowOff>85725</xdr:rowOff>
    </xdr:from>
    <xdr:to>
      <xdr:col>7</xdr:col>
      <xdr:colOff>28575</xdr:colOff>
      <xdr:row>31</xdr:row>
      <xdr:rowOff>95250</xdr:rowOff>
    </xdr:to>
    <xdr:cxnSp macro="">
      <xdr:nvCxnSpPr>
        <xdr:cNvPr id="10" name="Straight Arrow Connector 9"/>
        <xdr:cNvCxnSpPr/>
      </xdr:nvCxnSpPr>
      <xdr:spPr>
        <a:xfrm>
          <a:off x="6829425" y="6067425"/>
          <a:ext cx="2286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hawley/Dropbox/Class/Records%20from%20Previous%20Semesters/Summer%202015/Exam%202/Ex2Sum2015So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1 - 20 Pts"/>
      <sheetName val="P2 - 5 Pts"/>
      <sheetName val="P3 - 10 Pts"/>
      <sheetName val="P4 - 10 Pts"/>
      <sheetName val="P5 - 20 Pts"/>
      <sheetName val="P6 - 15 Pts"/>
      <sheetName val="MC-TF 20 Pts"/>
      <sheetName val="Sheet1"/>
    </sheetNames>
    <sheetDataSet>
      <sheetData sheetId="0"/>
      <sheetData sheetId="1"/>
      <sheetData sheetId="2"/>
      <sheetData sheetId="3"/>
      <sheetData sheetId="4"/>
      <sheetData sheetId="5">
        <row r="96">
          <cell r="C96">
            <v>2006</v>
          </cell>
          <cell r="D96">
            <v>1075050</v>
          </cell>
        </row>
        <row r="97">
          <cell r="C97">
            <v>2007</v>
          </cell>
          <cell r="D97">
            <v>948500</v>
          </cell>
        </row>
        <row r="98">
          <cell r="C98">
            <v>2008</v>
          </cell>
          <cell r="D98">
            <v>1200000</v>
          </cell>
        </row>
        <row r="99">
          <cell r="C99">
            <v>2009</v>
          </cell>
          <cell r="D99">
            <v>1289000</v>
          </cell>
        </row>
        <row r="100">
          <cell r="C100">
            <v>2010</v>
          </cell>
          <cell r="D100">
            <v>1426000</v>
          </cell>
        </row>
        <row r="101">
          <cell r="C101">
            <v>2011</v>
          </cell>
          <cell r="D101">
            <v>1560000</v>
          </cell>
        </row>
        <row r="102">
          <cell r="C102">
            <v>2012</v>
          </cell>
          <cell r="D102">
            <v>1755000</v>
          </cell>
        </row>
        <row r="103">
          <cell r="C103">
            <v>2013</v>
          </cell>
          <cell r="D103">
            <v>1654000</v>
          </cell>
        </row>
        <row r="104">
          <cell r="C104">
            <v>2014</v>
          </cell>
          <cell r="D104">
            <v>1924500</v>
          </cell>
        </row>
        <row r="105">
          <cell r="C105">
            <v>2015</v>
          </cell>
          <cell r="D105">
            <v>2000391.6666666865</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zoomScale="145" zoomScaleNormal="145" workbookViewId="0">
      <selection activeCell="E12" sqref="E12"/>
    </sheetView>
  </sheetViews>
  <sheetFormatPr defaultRowHeight="15" x14ac:dyDescent="0.25"/>
  <cols>
    <col min="1" max="1" width="2.7109375" customWidth="1"/>
  </cols>
  <sheetData>
    <row r="2" spans="2:3" ht="18.75" x14ac:dyDescent="0.3">
      <c r="B2" s="86" t="s">
        <v>53</v>
      </c>
      <c r="C2" s="85"/>
    </row>
    <row r="3" spans="2:3" ht="18.75" x14ac:dyDescent="0.3">
      <c r="B3" s="86" t="s">
        <v>73</v>
      </c>
      <c r="C3" s="85"/>
    </row>
    <row r="4" spans="2:3" ht="18.75" x14ac:dyDescent="0.3">
      <c r="B4" s="86" t="s">
        <v>59</v>
      </c>
      <c r="C4" s="85"/>
    </row>
    <row r="5" spans="2:3" ht="6" customHeight="1" x14ac:dyDescent="0.3">
      <c r="B5" s="86"/>
      <c r="C5" s="85"/>
    </row>
    <row r="6" spans="2:3" ht="16.5" customHeight="1" x14ac:dyDescent="0.3">
      <c r="B6" s="86" t="s">
        <v>100</v>
      </c>
      <c r="C6" s="85"/>
    </row>
    <row r="7" spans="2:3" ht="16.5" customHeight="1" x14ac:dyDescent="0.3">
      <c r="B7" s="86" t="s">
        <v>101</v>
      </c>
      <c r="C7" s="85"/>
    </row>
    <row r="8" spans="2:3" ht="16.5" customHeight="1" x14ac:dyDescent="0.3">
      <c r="B8" s="86" t="s">
        <v>122</v>
      </c>
      <c r="C8" s="85"/>
    </row>
    <row r="9" spans="2:3" ht="4.5" customHeight="1" x14ac:dyDescent="0.3">
      <c r="B9" s="86"/>
      <c r="C9" s="85"/>
    </row>
    <row r="10" spans="2:3" ht="15" customHeight="1" x14ac:dyDescent="0.3">
      <c r="B10" s="86" t="s">
        <v>54</v>
      </c>
      <c r="C10" s="85"/>
    </row>
    <row r="11" spans="2:3" ht="16.5" customHeight="1" x14ac:dyDescent="0.3">
      <c r="B11" s="86"/>
      <c r="C11" s="85"/>
    </row>
    <row r="12" spans="2:3" ht="17.649999999999999" customHeight="1" x14ac:dyDescent="0.25">
      <c r="B12" s="85" t="s">
        <v>243</v>
      </c>
      <c r="C12" s="85"/>
    </row>
    <row r="13" spans="2:3" ht="18.75" x14ac:dyDescent="0.3">
      <c r="B13" s="86"/>
      <c r="C13" s="85"/>
    </row>
    <row r="14" spans="2:3" ht="20.45" customHeight="1" x14ac:dyDescent="0.25">
      <c r="B14" s="85" t="s">
        <v>55</v>
      </c>
      <c r="C14" s="85"/>
    </row>
    <row r="15" spans="2:3" x14ac:dyDescent="0.25">
      <c r="B15" s="85" t="s">
        <v>123</v>
      </c>
      <c r="C15" s="85"/>
    </row>
    <row r="16" spans="2:3" x14ac:dyDescent="0.25">
      <c r="B16" s="85" t="s">
        <v>222</v>
      </c>
      <c r="C16" s="85"/>
    </row>
    <row r="17" spans="2:3" x14ac:dyDescent="0.25">
      <c r="B17" s="85"/>
      <c r="C17" s="85"/>
    </row>
    <row r="18" spans="2:3" ht="17.649999999999999" customHeight="1" x14ac:dyDescent="0.25">
      <c r="B18" s="87" t="s">
        <v>102</v>
      </c>
      <c r="C18" s="85"/>
    </row>
    <row r="19" spans="2:3" ht="17.649999999999999" customHeight="1" x14ac:dyDescent="0.25">
      <c r="B19" s="87" t="s">
        <v>103</v>
      </c>
      <c r="C19" s="85"/>
    </row>
    <row r="20" spans="2:3" ht="17.649999999999999" customHeight="1" x14ac:dyDescent="0.25">
      <c r="B20" s="85"/>
      <c r="C20" s="85"/>
    </row>
    <row r="21" spans="2:3" ht="14.65" customHeight="1" x14ac:dyDescent="0.25">
      <c r="B21" s="85" t="s">
        <v>74</v>
      </c>
      <c r="C21" s="85"/>
    </row>
    <row r="22" spans="2:3" x14ac:dyDescent="0.25">
      <c r="B22" s="85"/>
      <c r="C22" s="85"/>
    </row>
    <row r="23" spans="2:3" ht="19.5" customHeight="1" x14ac:dyDescent="0.25">
      <c r="B23" s="85"/>
      <c r="C23" s="85" t="s">
        <v>75</v>
      </c>
    </row>
    <row r="24" spans="2:3" x14ac:dyDescent="0.25">
      <c r="B24" s="85"/>
      <c r="C24" s="85" t="s">
        <v>104</v>
      </c>
    </row>
    <row r="25" spans="2:3" x14ac:dyDescent="0.25">
      <c r="B25" s="85"/>
      <c r="C25" s="85" t="s">
        <v>124</v>
      </c>
    </row>
    <row r="26" spans="2:3" x14ac:dyDescent="0.25">
      <c r="B26" s="85"/>
      <c r="C26" s="85"/>
    </row>
    <row r="27" spans="2:3" x14ac:dyDescent="0.25">
      <c r="B27" s="85"/>
      <c r="C27" s="85"/>
    </row>
    <row r="28" spans="2:3" x14ac:dyDescent="0.25">
      <c r="C28" t="s">
        <v>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tabSelected="1" zoomScale="115" zoomScaleNormal="115" workbookViewId="0">
      <selection activeCell="M14" sqref="M14"/>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61</v>
      </c>
    </row>
    <row r="21" spans="3:19" ht="15.75" thickBot="1" x14ac:dyDescent="0.3">
      <c r="C21" s="6" t="s">
        <v>8</v>
      </c>
      <c r="F21" s="2">
        <v>350000</v>
      </c>
      <c r="G21" t="s">
        <v>86</v>
      </c>
      <c r="N21" t="s">
        <v>78</v>
      </c>
      <c r="O21">
        <f>IF(F25="Annual",1,IF(F25="Quarterly",4,12))</f>
        <v>4</v>
      </c>
      <c r="P21">
        <v>1</v>
      </c>
    </row>
    <row r="22" spans="3:19" ht="15.75" thickBot="1" x14ac:dyDescent="0.3">
      <c r="C22" s="38" t="s">
        <v>81</v>
      </c>
      <c r="F22" s="45">
        <v>3</v>
      </c>
      <c r="G22" t="s">
        <v>89</v>
      </c>
      <c r="H22" s="5">
        <f>D31*Term*Periods+F24-F21</f>
        <v>26511.092666512646</v>
      </c>
      <c r="N22" t="s">
        <v>79</v>
      </c>
      <c r="P22">
        <v>2</v>
      </c>
    </row>
    <row r="23" spans="3:19" x14ac:dyDescent="0.25">
      <c r="C23" s="6" t="s">
        <v>9</v>
      </c>
      <c r="F23" s="3">
        <v>4.1000000000000002E-2</v>
      </c>
      <c r="N23" t="s">
        <v>80</v>
      </c>
      <c r="P23">
        <v>3</v>
      </c>
    </row>
    <row r="24" spans="3:19" ht="15.75" thickBot="1" x14ac:dyDescent="0.3">
      <c r="C24" s="6" t="s">
        <v>10</v>
      </c>
      <c r="F24" s="2">
        <v>50000</v>
      </c>
      <c r="G24" t="s">
        <v>87</v>
      </c>
      <c r="P24">
        <v>4</v>
      </c>
    </row>
    <row r="25" spans="3:19" ht="15.75" thickBot="1" x14ac:dyDescent="0.3">
      <c r="C25" s="38" t="s">
        <v>60</v>
      </c>
      <c r="F25" t="s">
        <v>79</v>
      </c>
      <c r="G25" t="s">
        <v>88</v>
      </c>
      <c r="H25" s="50">
        <f>EFFECT(Rate,Periods)</f>
        <v>4.1634693600629546E-2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350000</v>
      </c>
    </row>
    <row r="31" spans="3:19" x14ac:dyDescent="0.25">
      <c r="C31" s="12">
        <v>1</v>
      </c>
      <c r="D31" s="14">
        <f>PMT(Rate/Periods,Term*Periods,-F21,F24)</f>
        <v>27209.257722209386</v>
      </c>
      <c r="E31" s="13">
        <f t="shared" ref="E31:E62" si="0">IF(C31&gt;Term*Periods,"",G30*Rate/Periods)</f>
        <v>3587.5</v>
      </c>
      <c r="F31" s="14">
        <f t="shared" ref="F31:F62" si="1">IF(C31&gt;Term*Periods,"",D31-E31)</f>
        <v>23621.757722209386</v>
      </c>
      <c r="G31" s="13">
        <f t="shared" ref="G31:G62" si="2">IF(C31&gt;Term*Periods,"",G30-F31)</f>
        <v>326378.24227779062</v>
      </c>
      <c r="K31" t="s">
        <v>15</v>
      </c>
    </row>
    <row r="32" spans="3:19" x14ac:dyDescent="0.25">
      <c r="C32" s="12">
        <v>2</v>
      </c>
      <c r="D32" s="14">
        <f t="shared" ref="D32:D63" si="3">IF(C32&gt;Term*Periods,"",IF(C32=Term*Periods,$D$31+$F$24,$D$31))</f>
        <v>27209.257722209386</v>
      </c>
      <c r="E32" s="13">
        <f t="shared" si="0"/>
        <v>3345.3769833473539</v>
      </c>
      <c r="F32" s="14">
        <f t="shared" si="1"/>
        <v>23863.880738862033</v>
      </c>
      <c r="G32" s="13">
        <f t="shared" si="2"/>
        <v>302514.36153892858</v>
      </c>
    </row>
    <row r="33" spans="3:7" x14ac:dyDescent="0.25">
      <c r="C33" s="12">
        <v>3</v>
      </c>
      <c r="D33" s="14">
        <f t="shared" si="3"/>
        <v>27209.257722209386</v>
      </c>
      <c r="E33" s="13">
        <f t="shared" si="0"/>
        <v>3100.7722057740179</v>
      </c>
      <c r="F33" s="14">
        <f t="shared" si="1"/>
        <v>24108.485516435368</v>
      </c>
      <c r="G33" s="13">
        <f t="shared" si="2"/>
        <v>278405.87602249323</v>
      </c>
    </row>
    <row r="34" spans="3:7" x14ac:dyDescent="0.25">
      <c r="C34" s="12">
        <v>4</v>
      </c>
      <c r="D34" s="14">
        <f t="shared" si="3"/>
        <v>27209.257722209386</v>
      </c>
      <c r="E34" s="13">
        <f t="shared" si="0"/>
        <v>2853.6602292305556</v>
      </c>
      <c r="F34" s="14">
        <f t="shared" si="1"/>
        <v>24355.597492978832</v>
      </c>
      <c r="G34" s="13">
        <f t="shared" si="2"/>
        <v>254050.27852951441</v>
      </c>
    </row>
    <row r="35" spans="3:7" x14ac:dyDescent="0.25">
      <c r="C35" s="12">
        <v>5</v>
      </c>
      <c r="D35" s="14">
        <f t="shared" si="3"/>
        <v>27209.257722209386</v>
      </c>
      <c r="E35" s="13">
        <f t="shared" si="0"/>
        <v>2604.0153549275228</v>
      </c>
      <c r="F35" s="14">
        <f t="shared" si="1"/>
        <v>24605.242367281862</v>
      </c>
      <c r="G35" s="13">
        <f t="shared" si="2"/>
        <v>229445.03616223254</v>
      </c>
    </row>
    <row r="36" spans="3:7" x14ac:dyDescent="0.25">
      <c r="C36" s="12">
        <v>6</v>
      </c>
      <c r="D36" s="14">
        <f t="shared" si="3"/>
        <v>27209.257722209386</v>
      </c>
      <c r="E36" s="13">
        <f t="shared" si="0"/>
        <v>2351.8116206628838</v>
      </c>
      <c r="F36" s="14">
        <f t="shared" si="1"/>
        <v>24857.446101546502</v>
      </c>
      <c r="G36" s="13">
        <f t="shared" si="2"/>
        <v>204587.59006068605</v>
      </c>
    </row>
    <row r="37" spans="3:7" x14ac:dyDescent="0.25">
      <c r="C37" s="12">
        <v>7</v>
      </c>
      <c r="D37" s="14">
        <f t="shared" si="3"/>
        <v>27209.257722209386</v>
      </c>
      <c r="E37" s="13">
        <f t="shared" si="0"/>
        <v>2097.0227981220323</v>
      </c>
      <c r="F37" s="14">
        <f t="shared" si="1"/>
        <v>25112.234924087352</v>
      </c>
      <c r="G37" s="13">
        <f t="shared" si="2"/>
        <v>179475.35513659869</v>
      </c>
    </row>
    <row r="38" spans="3:7" x14ac:dyDescent="0.25">
      <c r="C38" s="12">
        <v>8</v>
      </c>
      <c r="D38" s="14">
        <f t="shared" si="3"/>
        <v>27209.257722209386</v>
      </c>
      <c r="E38" s="13">
        <f t="shared" si="0"/>
        <v>1839.6223901501367</v>
      </c>
      <c r="F38" s="14">
        <f t="shared" si="1"/>
        <v>25369.63533205925</v>
      </c>
      <c r="G38" s="13">
        <f t="shared" si="2"/>
        <v>154105.71980453943</v>
      </c>
    </row>
    <row r="39" spans="3:7" x14ac:dyDescent="0.25">
      <c r="C39" s="12">
        <v>9</v>
      </c>
      <c r="D39" s="14">
        <f t="shared" si="3"/>
        <v>27209.257722209386</v>
      </c>
      <c r="E39" s="13">
        <f t="shared" si="0"/>
        <v>1579.5836279965292</v>
      </c>
      <c r="F39" s="14">
        <f t="shared" si="1"/>
        <v>25629.674094212856</v>
      </c>
      <c r="G39" s="13">
        <f t="shared" si="2"/>
        <v>128476.04571032658</v>
      </c>
    </row>
    <row r="40" spans="3:7" x14ac:dyDescent="0.25">
      <c r="C40" s="12">
        <v>10</v>
      </c>
      <c r="D40" s="14">
        <f t="shared" si="3"/>
        <v>27209.257722209386</v>
      </c>
      <c r="E40" s="13">
        <f t="shared" si="0"/>
        <v>1316.8794685308476</v>
      </c>
      <c r="F40" s="14">
        <f t="shared" si="1"/>
        <v>25892.378253678537</v>
      </c>
      <c r="G40" s="13">
        <f t="shared" si="2"/>
        <v>102583.66745664805</v>
      </c>
    </row>
    <row r="41" spans="3:7" x14ac:dyDescent="0.25">
      <c r="C41" s="12">
        <v>11</v>
      </c>
      <c r="D41" s="14">
        <f t="shared" si="3"/>
        <v>27209.257722209386</v>
      </c>
      <c r="E41" s="13">
        <f t="shared" si="0"/>
        <v>1051.4825914306425</v>
      </c>
      <c r="F41" s="14">
        <f t="shared" si="1"/>
        <v>26157.775130778744</v>
      </c>
      <c r="G41" s="13">
        <f t="shared" si="2"/>
        <v>76425.89232586931</v>
      </c>
    </row>
    <row r="42" spans="3:7" x14ac:dyDescent="0.25">
      <c r="C42" s="12">
        <v>12</v>
      </c>
      <c r="D42" s="14">
        <f t="shared" si="3"/>
        <v>77209.257722209382</v>
      </c>
      <c r="E42" s="13">
        <f t="shared" si="0"/>
        <v>783.36539634016049</v>
      </c>
      <c r="F42" s="14">
        <f t="shared" si="1"/>
        <v>76425.892325869223</v>
      </c>
      <c r="G42" s="13">
        <f t="shared" si="2"/>
        <v>8.7311491370201111E-11</v>
      </c>
    </row>
    <row r="43" spans="3:7" x14ac:dyDescent="0.25">
      <c r="C43" s="12">
        <v>13</v>
      </c>
      <c r="D43" s="14" t="str">
        <f t="shared" si="3"/>
        <v/>
      </c>
      <c r="E43" s="13" t="str">
        <f t="shared" si="0"/>
        <v/>
      </c>
      <c r="F43" s="14" t="str">
        <f t="shared" si="1"/>
        <v/>
      </c>
      <c r="G43" s="13" t="str">
        <f t="shared" si="2"/>
        <v/>
      </c>
    </row>
    <row r="44" spans="3:7" x14ac:dyDescent="0.25">
      <c r="C44" s="12">
        <v>14</v>
      </c>
      <c r="D44" s="14" t="str">
        <f t="shared" si="3"/>
        <v/>
      </c>
      <c r="E44" s="13" t="str">
        <f t="shared" si="0"/>
        <v/>
      </c>
      <c r="F44" s="14" t="str">
        <f t="shared" si="1"/>
        <v/>
      </c>
      <c r="G44" s="13" t="str">
        <f t="shared" si="2"/>
        <v/>
      </c>
    </row>
    <row r="45" spans="3:7" x14ac:dyDescent="0.25">
      <c r="C45" s="12">
        <v>15</v>
      </c>
      <c r="D45" s="14" t="str">
        <f t="shared" si="3"/>
        <v/>
      </c>
      <c r="E45" s="13" t="str">
        <f t="shared" si="0"/>
        <v/>
      </c>
      <c r="F45" s="14" t="str">
        <f t="shared" si="1"/>
        <v/>
      </c>
      <c r="G45" s="13" t="str">
        <f t="shared" si="2"/>
        <v/>
      </c>
    </row>
    <row r="46" spans="3:7" x14ac:dyDescent="0.25">
      <c r="C46" s="12">
        <v>16</v>
      </c>
      <c r="D46" s="14" t="str">
        <f t="shared" si="3"/>
        <v/>
      </c>
      <c r="E46" s="13" t="str">
        <f t="shared" si="0"/>
        <v/>
      </c>
      <c r="F46" s="14" t="str">
        <f t="shared" si="1"/>
        <v/>
      </c>
      <c r="G46" s="13" t="str">
        <f t="shared" si="2"/>
        <v/>
      </c>
    </row>
    <row r="47" spans="3:7" x14ac:dyDescent="0.25">
      <c r="C47" s="12">
        <v>17</v>
      </c>
      <c r="D47" s="14" t="str">
        <f t="shared" si="3"/>
        <v/>
      </c>
      <c r="E47" s="13" t="str">
        <f t="shared" si="0"/>
        <v/>
      </c>
      <c r="F47" s="14" t="str">
        <f t="shared" si="1"/>
        <v/>
      </c>
      <c r="G47" s="13" t="str">
        <f t="shared" si="2"/>
        <v/>
      </c>
    </row>
    <row r="48" spans="3:7" x14ac:dyDescent="0.25">
      <c r="C48" s="12">
        <v>18</v>
      </c>
      <c r="D48" s="14" t="str">
        <f t="shared" si="3"/>
        <v/>
      </c>
      <c r="E48" s="13" t="str">
        <f t="shared" si="0"/>
        <v/>
      </c>
      <c r="F48" s="14" t="str">
        <f t="shared" si="1"/>
        <v/>
      </c>
      <c r="G48" s="13" t="str">
        <f t="shared" si="2"/>
        <v/>
      </c>
    </row>
    <row r="49" spans="3:7" x14ac:dyDescent="0.25">
      <c r="C49" s="12">
        <v>19</v>
      </c>
      <c r="D49" s="14" t="str">
        <f t="shared" si="3"/>
        <v/>
      </c>
      <c r="E49" s="13" t="str">
        <f t="shared" si="0"/>
        <v/>
      </c>
      <c r="F49" s="14" t="str">
        <f t="shared" si="1"/>
        <v/>
      </c>
      <c r="G49" s="13" t="str">
        <f t="shared" si="2"/>
        <v/>
      </c>
    </row>
    <row r="50" spans="3:7" x14ac:dyDescent="0.25">
      <c r="C50" s="12">
        <v>20</v>
      </c>
      <c r="D50" s="14" t="str">
        <f t="shared" si="3"/>
        <v/>
      </c>
      <c r="E50" s="13" t="str">
        <f t="shared" si="0"/>
        <v/>
      </c>
      <c r="F50" s="14" t="str">
        <f t="shared" si="1"/>
        <v/>
      </c>
      <c r="G50" s="13" t="str">
        <f t="shared" si="2"/>
        <v/>
      </c>
    </row>
    <row r="51" spans="3:7" x14ac:dyDescent="0.25">
      <c r="C51" s="12">
        <v>21</v>
      </c>
      <c r="D51" s="14" t="str">
        <f t="shared" si="3"/>
        <v/>
      </c>
      <c r="E51" s="13" t="str">
        <f t="shared" si="0"/>
        <v/>
      </c>
      <c r="F51" s="14" t="str">
        <f t="shared" si="1"/>
        <v/>
      </c>
      <c r="G51" s="13" t="str">
        <f t="shared" si="2"/>
        <v/>
      </c>
    </row>
    <row r="52" spans="3:7" x14ac:dyDescent="0.25">
      <c r="C52" s="12">
        <v>22</v>
      </c>
      <c r="D52" s="14" t="str">
        <f t="shared" si="3"/>
        <v/>
      </c>
      <c r="E52" s="13" t="str">
        <f t="shared" si="0"/>
        <v/>
      </c>
      <c r="F52" s="14" t="str">
        <f t="shared" si="1"/>
        <v/>
      </c>
      <c r="G52" s="13" t="str">
        <f t="shared" si="2"/>
        <v/>
      </c>
    </row>
    <row r="53" spans="3:7" x14ac:dyDescent="0.25">
      <c r="C53" s="12">
        <v>23</v>
      </c>
      <c r="D53" s="14" t="str">
        <f t="shared" si="3"/>
        <v/>
      </c>
      <c r="E53" s="13" t="str">
        <f t="shared" si="0"/>
        <v/>
      </c>
      <c r="F53" s="14" t="str">
        <f t="shared" si="1"/>
        <v/>
      </c>
      <c r="G53" s="13" t="str">
        <f t="shared" si="2"/>
        <v/>
      </c>
    </row>
    <row r="54" spans="3:7" x14ac:dyDescent="0.25">
      <c r="C54" s="12">
        <v>24</v>
      </c>
      <c r="D54" s="14" t="str">
        <f t="shared" si="3"/>
        <v/>
      </c>
      <c r="E54" s="13" t="str">
        <f t="shared" si="0"/>
        <v/>
      </c>
      <c r="F54" s="14" t="str">
        <f t="shared" si="1"/>
        <v/>
      </c>
      <c r="G54" s="13" t="str">
        <f t="shared" si="2"/>
        <v/>
      </c>
    </row>
    <row r="55" spans="3:7" x14ac:dyDescent="0.25">
      <c r="C55" s="12">
        <v>25</v>
      </c>
      <c r="D55" s="14" t="str">
        <f t="shared" si="3"/>
        <v/>
      </c>
      <c r="E55" s="13" t="str">
        <f t="shared" si="0"/>
        <v/>
      </c>
      <c r="F55" s="14" t="str">
        <f t="shared" si="1"/>
        <v/>
      </c>
      <c r="G55" s="13" t="str">
        <f t="shared" si="2"/>
        <v/>
      </c>
    </row>
    <row r="56" spans="3:7" x14ac:dyDescent="0.25">
      <c r="C56" s="12">
        <v>26</v>
      </c>
      <c r="D56" s="14" t="str">
        <f t="shared" si="3"/>
        <v/>
      </c>
      <c r="E56" s="13" t="str">
        <f t="shared" si="0"/>
        <v/>
      </c>
      <c r="F56" s="14" t="str">
        <f t="shared" si="1"/>
        <v/>
      </c>
      <c r="G56" s="13" t="str">
        <f t="shared" si="2"/>
        <v/>
      </c>
    </row>
    <row r="57" spans="3:7" x14ac:dyDescent="0.25">
      <c r="C57" s="12">
        <v>27</v>
      </c>
      <c r="D57" s="14" t="str">
        <f t="shared" si="3"/>
        <v/>
      </c>
      <c r="E57" s="13" t="str">
        <f t="shared" si="0"/>
        <v/>
      </c>
      <c r="F57" s="14" t="str">
        <f t="shared" si="1"/>
        <v/>
      </c>
      <c r="G57" s="13" t="str">
        <f t="shared" si="2"/>
        <v/>
      </c>
    </row>
    <row r="58" spans="3:7" x14ac:dyDescent="0.25">
      <c r="C58" s="12">
        <v>28</v>
      </c>
      <c r="D58" s="14" t="str">
        <f t="shared" si="3"/>
        <v/>
      </c>
      <c r="E58" s="13" t="str">
        <f t="shared" si="0"/>
        <v/>
      </c>
      <c r="F58" s="14" t="str">
        <f t="shared" si="1"/>
        <v/>
      </c>
      <c r="G58" s="13" t="str">
        <f t="shared" si="2"/>
        <v/>
      </c>
    </row>
    <row r="59" spans="3:7" x14ac:dyDescent="0.25">
      <c r="C59" s="12">
        <v>29</v>
      </c>
      <c r="D59" s="14" t="str">
        <f t="shared" si="3"/>
        <v/>
      </c>
      <c r="E59" s="13" t="str">
        <f t="shared" si="0"/>
        <v/>
      </c>
      <c r="F59" s="14" t="str">
        <f t="shared" si="1"/>
        <v/>
      </c>
      <c r="G59" s="13" t="str">
        <f t="shared" si="2"/>
        <v/>
      </c>
    </row>
    <row r="60" spans="3:7" x14ac:dyDescent="0.25">
      <c r="C60" s="12">
        <v>30</v>
      </c>
      <c r="D60" s="14" t="str">
        <f t="shared" si="3"/>
        <v/>
      </c>
      <c r="E60" s="13" t="str">
        <f t="shared" si="0"/>
        <v/>
      </c>
      <c r="F60" s="14" t="str">
        <f t="shared" si="1"/>
        <v/>
      </c>
      <c r="G60" s="13" t="str">
        <f t="shared" si="2"/>
        <v/>
      </c>
    </row>
    <row r="61" spans="3:7" x14ac:dyDescent="0.25">
      <c r="C61" s="12">
        <v>31</v>
      </c>
      <c r="D61" s="14" t="str">
        <f t="shared" si="3"/>
        <v/>
      </c>
      <c r="E61" s="13" t="str">
        <f t="shared" si="0"/>
        <v/>
      </c>
      <c r="F61" s="14" t="str">
        <f t="shared" si="1"/>
        <v/>
      </c>
      <c r="G61" s="13" t="str">
        <f t="shared" si="2"/>
        <v/>
      </c>
    </row>
    <row r="62" spans="3:7" x14ac:dyDescent="0.25">
      <c r="C62" s="12">
        <v>32</v>
      </c>
      <c r="D62" s="14" t="str">
        <f t="shared" si="3"/>
        <v/>
      </c>
      <c r="E62" s="13" t="str">
        <f t="shared" si="0"/>
        <v/>
      </c>
      <c r="F62" s="14" t="str">
        <f t="shared" si="1"/>
        <v/>
      </c>
      <c r="G62" s="13" t="str">
        <f t="shared" si="2"/>
        <v/>
      </c>
    </row>
    <row r="63" spans="3:7" x14ac:dyDescent="0.25">
      <c r="C63" s="12">
        <v>33</v>
      </c>
      <c r="D63" s="14" t="str">
        <f t="shared" si="3"/>
        <v/>
      </c>
      <c r="E63" s="13" t="str">
        <f t="shared" ref="E63:E90" si="4">IF(C63&gt;Term*Periods,"",G62*Rate/Periods)</f>
        <v/>
      </c>
      <c r="F63" s="14" t="str">
        <f t="shared" ref="F63:F90" si="5">IF(C63&gt;Term*Periods,"",D63-E63)</f>
        <v/>
      </c>
      <c r="G63" s="13" t="str">
        <f t="shared" ref="G63:G90" si="6">IF(C63&gt;Term*Periods,"",G62-F63)</f>
        <v/>
      </c>
    </row>
    <row r="64" spans="3:7" x14ac:dyDescent="0.25">
      <c r="C64" s="12">
        <v>34</v>
      </c>
      <c r="D64" s="14" t="str">
        <f t="shared" ref="D64:D90" si="7">IF(C64&gt;Term*Periods,"",IF(C64=Term*Periods,$D$31+$F$24,$D$31))</f>
        <v/>
      </c>
      <c r="E64" s="13" t="str">
        <f t="shared" si="4"/>
        <v/>
      </c>
      <c r="F64" s="14" t="str">
        <f t="shared" si="5"/>
        <v/>
      </c>
      <c r="G64" s="13" t="str">
        <f t="shared" si="6"/>
        <v/>
      </c>
    </row>
    <row r="65" spans="3:7" x14ac:dyDescent="0.25">
      <c r="C65" s="12">
        <v>35</v>
      </c>
      <c r="D65" s="14" t="str">
        <f t="shared" si="7"/>
        <v/>
      </c>
      <c r="E65" s="13" t="str">
        <f t="shared" si="4"/>
        <v/>
      </c>
      <c r="F65" s="14" t="str">
        <f t="shared" si="5"/>
        <v/>
      </c>
      <c r="G65" s="13" t="str">
        <f t="shared" si="6"/>
        <v/>
      </c>
    </row>
    <row r="66" spans="3:7" x14ac:dyDescent="0.25">
      <c r="C66" s="12">
        <v>36</v>
      </c>
      <c r="D66" s="14" t="str">
        <f t="shared" si="7"/>
        <v/>
      </c>
      <c r="E66" s="13" t="str">
        <f t="shared" si="4"/>
        <v/>
      </c>
      <c r="F66" s="14" t="str">
        <f t="shared" si="5"/>
        <v/>
      </c>
      <c r="G66" s="13" t="str">
        <f t="shared" si="6"/>
        <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2% and 10%." sqref="F23">
      <formula1>0.02</formula1>
      <formula2>0.1</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election activeCell="C18" sqref="C18"/>
    </sheetView>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62</v>
      </c>
      <c r="C18" s="44">
        <v>125000</v>
      </c>
      <c r="E18" s="43" t="s">
        <v>83</v>
      </c>
    </row>
    <row r="19" spans="2:7" ht="15.75" thickBot="1" x14ac:dyDescent="0.3">
      <c r="B19" s="43" t="s">
        <v>63</v>
      </c>
      <c r="C19" s="41">
        <v>5</v>
      </c>
      <c r="E19" s="43" t="s">
        <v>84</v>
      </c>
      <c r="G19" s="48">
        <f>PMT(C20/12,C19*12,-C18)</f>
        <v>2393.419160744304</v>
      </c>
    </row>
    <row r="20" spans="2:7" x14ac:dyDescent="0.25">
      <c r="B20" s="43" t="s">
        <v>16</v>
      </c>
      <c r="C20" s="51">
        <v>5.6000000000000001E-2</v>
      </c>
    </row>
    <row r="21" spans="2:7" x14ac:dyDescent="0.25">
      <c r="B21" s="43" t="s">
        <v>64</v>
      </c>
      <c r="C21" s="44">
        <v>700</v>
      </c>
      <c r="E21" s="43" t="s">
        <v>82</v>
      </c>
    </row>
    <row r="22" spans="2:7" ht="15.75" thickBot="1" x14ac:dyDescent="0.3">
      <c r="E22" s="43" t="s">
        <v>65</v>
      </c>
    </row>
    <row r="23" spans="2:7" ht="15.75" thickBot="1" x14ac:dyDescent="0.3">
      <c r="E23" s="43" t="s">
        <v>85</v>
      </c>
      <c r="G23" s="92">
        <f>NPER(C20/12,G19+C21,-C18)</f>
        <v>44.881554011410415</v>
      </c>
    </row>
    <row r="25" spans="2:7" x14ac:dyDescent="0.25">
      <c r="E25" s="43" t="s">
        <v>66</v>
      </c>
    </row>
    <row r="26" spans="2:7" x14ac:dyDescent="0.25">
      <c r="E26" s="43" t="s">
        <v>67</v>
      </c>
    </row>
    <row r="27" spans="2:7" x14ac:dyDescent="0.25">
      <c r="E27" s="43" t="s">
        <v>68</v>
      </c>
    </row>
    <row r="28" spans="2:7" x14ac:dyDescent="0.25">
      <c r="E28" s="43" t="s">
        <v>69</v>
      </c>
    </row>
    <row r="29" spans="2:7" x14ac:dyDescent="0.25">
      <c r="E29" s="43" t="s">
        <v>70</v>
      </c>
    </row>
    <row r="30" spans="2:7" ht="15.75" thickBot="1" x14ac:dyDescent="0.3">
      <c r="E30" s="43" t="s">
        <v>71</v>
      </c>
    </row>
    <row r="31" spans="2:7" ht="15.75" thickBot="1" x14ac:dyDescent="0.3">
      <c r="E31" s="43" t="s">
        <v>72</v>
      </c>
      <c r="G31" s="5">
        <f>(G19*C19*12)-(G23*(G19+C21))</f>
        <v>4767.6905017808895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5"/>
  <sheetViews>
    <sheetView zoomScaleNormal="100" workbookViewId="0">
      <selection activeCell="J47" sqref="A45:J47"/>
    </sheetView>
  </sheetViews>
  <sheetFormatPr defaultRowHeight="15" x14ac:dyDescent="0.25"/>
  <cols>
    <col min="1" max="1" width="4.42578125" customWidth="1"/>
    <col min="7" max="7" width="10.7109375" customWidth="1"/>
    <col min="8" max="8" width="14.5703125" customWidth="1"/>
    <col min="10" max="10" width="13.5703125" bestFit="1" customWidth="1"/>
    <col min="13" max="13" width="11.7109375" customWidth="1"/>
    <col min="14" max="14" width="17" style="91" customWidth="1"/>
    <col min="15" max="15" width="14.42578125" customWidth="1"/>
    <col min="16" max="16" width="15.140625" customWidth="1"/>
    <col min="17" max="17" width="21.5703125" customWidth="1"/>
  </cols>
  <sheetData>
    <row r="2" spans="2:16" x14ac:dyDescent="0.25">
      <c r="B2" s="113" t="s">
        <v>106</v>
      </c>
      <c r="C2" s="52"/>
      <c r="D2" s="52"/>
      <c r="E2" s="52"/>
      <c r="F2" s="52"/>
      <c r="G2" s="52"/>
      <c r="H2" s="52"/>
      <c r="I2" s="52"/>
      <c r="J2" s="52"/>
      <c r="K2" s="52"/>
    </row>
    <row r="3" spans="2:16" x14ac:dyDescent="0.25">
      <c r="B3" s="113" t="s">
        <v>275</v>
      </c>
      <c r="C3" s="52"/>
      <c r="D3" s="52"/>
      <c r="E3" s="52"/>
      <c r="F3" s="52"/>
      <c r="G3" s="52"/>
      <c r="H3" s="52"/>
      <c r="I3" s="52"/>
      <c r="J3" s="52"/>
      <c r="K3" s="52"/>
    </row>
    <row r="4" spans="2:16" x14ac:dyDescent="0.25">
      <c r="B4" s="113" t="s">
        <v>276</v>
      </c>
      <c r="C4" s="52"/>
      <c r="D4" s="52"/>
      <c r="E4" s="52"/>
      <c r="F4" s="52"/>
      <c r="G4" s="52"/>
      <c r="H4" s="52"/>
      <c r="I4" s="52"/>
      <c r="J4" s="52"/>
      <c r="K4" s="52"/>
    </row>
    <row r="5" spans="2:16" ht="24" customHeight="1" x14ac:dyDescent="0.25">
      <c r="B5" s="113" t="s">
        <v>277</v>
      </c>
      <c r="C5" s="52"/>
      <c r="D5" s="52"/>
      <c r="E5" s="52"/>
      <c r="F5" s="52"/>
      <c r="G5" s="52"/>
      <c r="H5" s="52"/>
      <c r="I5" s="52"/>
      <c r="J5" s="52"/>
      <c r="K5" s="52"/>
    </row>
    <row r="6" spans="2:16" x14ac:dyDescent="0.25">
      <c r="B6" s="113" t="s">
        <v>278</v>
      </c>
      <c r="C6" s="52"/>
      <c r="D6" s="52"/>
      <c r="E6" s="52"/>
      <c r="F6" s="52"/>
      <c r="G6" s="52"/>
      <c r="H6" s="52"/>
      <c r="I6" s="52"/>
      <c r="J6" s="52"/>
      <c r="K6" s="52"/>
    </row>
    <row r="7" spans="2:16" x14ac:dyDescent="0.25">
      <c r="B7" s="113" t="s">
        <v>197</v>
      </c>
      <c r="C7" s="52"/>
      <c r="D7" s="52"/>
      <c r="E7" s="52"/>
      <c r="F7" s="52"/>
      <c r="G7" s="52"/>
      <c r="H7" s="52"/>
      <c r="I7" s="52"/>
      <c r="J7" s="52"/>
      <c r="K7" s="52"/>
    </row>
    <row r="8" spans="2:16" ht="9" customHeight="1" x14ac:dyDescent="0.25">
      <c r="B8" s="113"/>
      <c r="C8" s="52"/>
      <c r="D8" s="52"/>
      <c r="E8" s="52"/>
      <c r="F8" s="52"/>
      <c r="G8" s="52"/>
      <c r="H8" s="52"/>
      <c r="I8" s="52"/>
      <c r="J8" s="52"/>
      <c r="K8" s="52"/>
    </row>
    <row r="9" spans="2:16" x14ac:dyDescent="0.25">
      <c r="B9" s="113" t="s">
        <v>198</v>
      </c>
      <c r="C9" s="52"/>
      <c r="D9" s="52"/>
      <c r="E9" s="52"/>
      <c r="F9" s="52"/>
      <c r="G9" s="52"/>
      <c r="H9" s="52"/>
      <c r="I9" s="52"/>
      <c r="J9" s="52"/>
      <c r="K9" s="52"/>
    </row>
    <row r="10" spans="2:16" x14ac:dyDescent="0.25">
      <c r="B10" s="113" t="s">
        <v>199</v>
      </c>
      <c r="C10" s="52"/>
      <c r="D10" s="52"/>
      <c r="E10" s="52"/>
      <c r="F10" s="52"/>
      <c r="G10" s="52"/>
      <c r="H10" s="52"/>
      <c r="I10" s="52"/>
      <c r="J10" s="52"/>
      <c r="K10" s="52"/>
    </row>
    <row r="11" spans="2:16" x14ac:dyDescent="0.25">
      <c r="B11" s="113" t="s">
        <v>200</v>
      </c>
      <c r="C11" s="52"/>
      <c r="D11" s="52"/>
      <c r="E11" s="52"/>
      <c r="F11" s="52"/>
      <c r="G11" s="52"/>
      <c r="H11" s="52"/>
      <c r="I11" s="52"/>
      <c r="J11" s="52"/>
      <c r="K11" s="52"/>
      <c r="O11" s="89"/>
      <c r="P11" s="89"/>
    </row>
    <row r="12" spans="2:16" s="88" customFormat="1" ht="8.65" customHeight="1" x14ac:dyDescent="0.25">
      <c r="B12" s="113"/>
      <c r="N12" s="91"/>
      <c r="O12" s="89"/>
      <c r="P12" s="89"/>
    </row>
    <row r="13" spans="2:16" s="88" customFormat="1" x14ac:dyDescent="0.25">
      <c r="B13" s="113" t="s">
        <v>107</v>
      </c>
      <c r="N13" s="91"/>
      <c r="O13" s="89"/>
      <c r="P13" s="89"/>
    </row>
    <row r="14" spans="2:16" s="88" customFormat="1" x14ac:dyDescent="0.25">
      <c r="B14" s="113" t="s">
        <v>108</v>
      </c>
      <c r="N14" s="91"/>
      <c r="O14" s="89"/>
      <c r="P14" s="89"/>
    </row>
    <row r="15" spans="2:16" s="88" customFormat="1" ht="15.75" thickBot="1" x14ac:dyDescent="0.3">
      <c r="N15" s="91"/>
      <c r="O15" s="89"/>
      <c r="P15" s="89"/>
    </row>
    <row r="16" spans="2:16" ht="15.75" thickBot="1" x14ac:dyDescent="0.3">
      <c r="B16" s="52"/>
      <c r="C16" s="52" t="s">
        <v>109</v>
      </c>
      <c r="D16" s="52"/>
      <c r="E16" s="52"/>
      <c r="F16" s="52"/>
      <c r="G16" s="52"/>
      <c r="H16" s="56">
        <v>4.4999999999999998E-2</v>
      </c>
      <c r="I16" s="52"/>
      <c r="J16" s="52"/>
      <c r="K16" s="52"/>
      <c r="O16" s="89" t="s">
        <v>191</v>
      </c>
      <c r="P16" s="89" t="s">
        <v>193</v>
      </c>
    </row>
    <row r="17" spans="2:16" ht="15.75" thickBot="1" x14ac:dyDescent="0.3">
      <c r="B17" s="54"/>
      <c r="C17" s="54"/>
      <c r="D17" s="54"/>
      <c r="E17" s="54"/>
      <c r="F17" s="54"/>
      <c r="G17" s="54"/>
      <c r="H17" s="54"/>
      <c r="I17" s="54"/>
      <c r="J17" s="54"/>
      <c r="K17" s="54"/>
      <c r="L17" s="106" t="s">
        <v>219</v>
      </c>
      <c r="M17" s="89" t="s">
        <v>194</v>
      </c>
      <c r="N17" s="89" t="s">
        <v>195</v>
      </c>
      <c r="O17" s="89" t="s">
        <v>192</v>
      </c>
      <c r="P17" s="89" t="s">
        <v>14</v>
      </c>
    </row>
    <row r="18" spans="2:16" ht="15.75" thickBot="1" x14ac:dyDescent="0.3">
      <c r="B18" s="144" t="s">
        <v>110</v>
      </c>
      <c r="C18" s="144"/>
      <c r="D18" s="144"/>
      <c r="E18" s="144"/>
      <c r="F18" s="144"/>
      <c r="G18" s="144"/>
      <c r="H18" s="144"/>
      <c r="I18" s="144"/>
      <c r="J18" s="144"/>
      <c r="K18" s="144"/>
      <c r="L18">
        <v>0</v>
      </c>
      <c r="M18" s="90">
        <v>42370</v>
      </c>
      <c r="N18" s="91" t="s">
        <v>141</v>
      </c>
      <c r="O18" s="53">
        <v>5000</v>
      </c>
      <c r="P18" s="53">
        <f>O18</f>
        <v>5000</v>
      </c>
    </row>
    <row r="19" spans="2:16" x14ac:dyDescent="0.25">
      <c r="L19">
        <v>1</v>
      </c>
      <c r="M19" s="90">
        <v>42736</v>
      </c>
      <c r="N19" s="91" t="s">
        <v>142</v>
      </c>
      <c r="O19" s="53">
        <f>H26</f>
        <v>31641.575213109107</v>
      </c>
      <c r="P19" s="53">
        <f>O19+(P18*(1+$H$16))</f>
        <v>36866.575213109107</v>
      </c>
    </row>
    <row r="20" spans="2:16" x14ac:dyDescent="0.25">
      <c r="C20" s="55" t="s">
        <v>111</v>
      </c>
      <c r="D20" t="s">
        <v>282</v>
      </c>
      <c r="H20" s="53">
        <f>-PV(H16,25,150000,0,1)</f>
        <v>2324321.7549052062</v>
      </c>
      <c r="J20" s="100">
        <f>H20/1.045</f>
        <v>2224231.3444068958</v>
      </c>
      <c r="L20">
        <v>2</v>
      </c>
      <c r="M20" s="90">
        <v>43101</v>
      </c>
      <c r="N20" s="91" t="s">
        <v>143</v>
      </c>
      <c r="O20" s="53">
        <f t="shared" ref="O20:O48" si="0">O19</f>
        <v>31641.575213109107</v>
      </c>
      <c r="P20" s="53">
        <f t="shared" ref="P20:P76" si="1">O20+(P19*(1+$H$16))</f>
        <v>70167.146310808123</v>
      </c>
    </row>
    <row r="21" spans="2:16" x14ac:dyDescent="0.25">
      <c r="L21" s="104">
        <v>3</v>
      </c>
      <c r="M21" s="90">
        <v>43466</v>
      </c>
      <c r="N21" s="91" t="s">
        <v>144</v>
      </c>
      <c r="O21" s="53">
        <f t="shared" si="0"/>
        <v>31641.575213109107</v>
      </c>
      <c r="P21" s="53">
        <f t="shared" si="1"/>
        <v>104966.2431079036</v>
      </c>
    </row>
    <row r="22" spans="2:16" x14ac:dyDescent="0.25">
      <c r="C22" s="55" t="s">
        <v>112</v>
      </c>
      <c r="D22" t="s">
        <v>279</v>
      </c>
      <c r="H22" s="53">
        <f>-PV(H16,34,0,H20)</f>
        <v>520406.09201206674</v>
      </c>
      <c r="L22" s="104">
        <v>4</v>
      </c>
      <c r="M22" s="90">
        <v>43831</v>
      </c>
      <c r="N22" s="91" t="s">
        <v>145</v>
      </c>
      <c r="O22" s="53">
        <f t="shared" si="0"/>
        <v>31641.575213109107</v>
      </c>
      <c r="P22" s="53">
        <f t="shared" si="1"/>
        <v>141331.29926086837</v>
      </c>
    </row>
    <row r="23" spans="2:16" x14ac:dyDescent="0.25">
      <c r="L23" s="104">
        <v>5</v>
      </c>
      <c r="M23" s="90">
        <v>44197</v>
      </c>
      <c r="N23" s="91" t="s">
        <v>146</v>
      </c>
      <c r="O23" s="53">
        <f t="shared" si="0"/>
        <v>31641.575213109107</v>
      </c>
      <c r="P23" s="53">
        <f t="shared" si="1"/>
        <v>179332.78294071654</v>
      </c>
    </row>
    <row r="24" spans="2:16" x14ac:dyDescent="0.25">
      <c r="C24" t="s">
        <v>113</v>
      </c>
      <c r="D24" t="s">
        <v>201</v>
      </c>
      <c r="H24" s="93">
        <f>H22-5000</f>
        <v>515406.09201206674</v>
      </c>
      <c r="L24" s="104">
        <v>6</v>
      </c>
      <c r="M24" s="90">
        <v>44562</v>
      </c>
      <c r="N24" s="91" t="s">
        <v>147</v>
      </c>
      <c r="O24" s="53">
        <f t="shared" si="0"/>
        <v>31641.575213109107</v>
      </c>
      <c r="P24" s="53">
        <f t="shared" si="1"/>
        <v>219044.33338615787</v>
      </c>
    </row>
    <row r="25" spans="2:16" x14ac:dyDescent="0.25">
      <c r="L25" s="104">
        <v>7</v>
      </c>
      <c r="M25" s="90">
        <v>44927</v>
      </c>
      <c r="N25" s="91" t="s">
        <v>148</v>
      </c>
      <c r="O25" s="53">
        <f t="shared" si="0"/>
        <v>31641.575213109107</v>
      </c>
      <c r="P25" s="53">
        <f t="shared" si="1"/>
        <v>260542.90360164407</v>
      </c>
    </row>
    <row r="26" spans="2:16" x14ac:dyDescent="0.25">
      <c r="C26" s="55" t="s">
        <v>113</v>
      </c>
      <c r="D26" t="s">
        <v>280</v>
      </c>
      <c r="H26" s="53">
        <f>PMT(H16,30,-H24,0)</f>
        <v>31641.575213109107</v>
      </c>
      <c r="I26" s="55" t="s">
        <v>114</v>
      </c>
      <c r="L26" s="104">
        <v>8</v>
      </c>
      <c r="M26" s="90">
        <v>45292</v>
      </c>
      <c r="N26" s="91" t="s">
        <v>149</v>
      </c>
      <c r="O26" s="53">
        <f t="shared" si="0"/>
        <v>31641.575213109107</v>
      </c>
      <c r="P26" s="53">
        <f t="shared" si="1"/>
        <v>303908.90947682713</v>
      </c>
    </row>
    <row r="27" spans="2:16" x14ac:dyDescent="0.25">
      <c r="D27" t="s">
        <v>202</v>
      </c>
      <c r="L27" s="104">
        <v>9</v>
      </c>
      <c r="M27" s="90">
        <v>45658</v>
      </c>
      <c r="N27" s="91" t="s">
        <v>150</v>
      </c>
      <c r="O27" s="53">
        <f t="shared" si="0"/>
        <v>31641.575213109107</v>
      </c>
      <c r="P27" s="53">
        <f t="shared" si="1"/>
        <v>349226.38561639341</v>
      </c>
    </row>
    <row r="28" spans="2:16" x14ac:dyDescent="0.25">
      <c r="L28" s="104">
        <v>10</v>
      </c>
      <c r="M28" s="90">
        <v>46023</v>
      </c>
      <c r="N28" s="91" t="s">
        <v>151</v>
      </c>
      <c r="O28" s="53">
        <f t="shared" si="0"/>
        <v>31641.575213109107</v>
      </c>
      <c r="P28" s="53">
        <f t="shared" si="1"/>
        <v>396583.1481822402</v>
      </c>
    </row>
    <row r="29" spans="2:16" x14ac:dyDescent="0.25">
      <c r="L29" s="104">
        <v>11</v>
      </c>
      <c r="M29" s="90">
        <v>46388</v>
      </c>
      <c r="N29" s="91" t="s">
        <v>152</v>
      </c>
      <c r="O29" s="53">
        <f t="shared" si="0"/>
        <v>31641.575213109107</v>
      </c>
      <c r="P29" s="53">
        <f t="shared" si="1"/>
        <v>446070.96506355004</v>
      </c>
    </row>
    <row r="30" spans="2:16" x14ac:dyDescent="0.25">
      <c r="L30" s="104">
        <v>12</v>
      </c>
      <c r="M30" s="90">
        <v>46753</v>
      </c>
      <c r="N30" s="91" t="s">
        <v>153</v>
      </c>
      <c r="O30" s="53">
        <f t="shared" si="0"/>
        <v>31641.575213109107</v>
      </c>
      <c r="P30" s="53">
        <f t="shared" si="1"/>
        <v>497785.73370451888</v>
      </c>
    </row>
    <row r="31" spans="2:16" x14ac:dyDescent="0.25">
      <c r="L31" s="104">
        <v>13</v>
      </c>
      <c r="M31" s="90">
        <v>47119</v>
      </c>
      <c r="N31" s="91" t="s">
        <v>154</v>
      </c>
      <c r="O31" s="53">
        <f t="shared" si="0"/>
        <v>31641.575213109107</v>
      </c>
      <c r="P31" s="53">
        <f t="shared" si="1"/>
        <v>551827.6669343313</v>
      </c>
    </row>
    <row r="32" spans="2:16" x14ac:dyDescent="0.25">
      <c r="L32" s="104">
        <v>14</v>
      </c>
      <c r="M32" s="90">
        <v>47484</v>
      </c>
      <c r="N32" s="91" t="s">
        <v>155</v>
      </c>
      <c r="O32" s="53">
        <f t="shared" si="0"/>
        <v>31641.575213109107</v>
      </c>
      <c r="P32" s="53">
        <f t="shared" si="1"/>
        <v>608301.48715948535</v>
      </c>
    </row>
    <row r="33" spans="12:16" x14ac:dyDescent="0.25">
      <c r="L33" s="104">
        <v>15</v>
      </c>
      <c r="M33" s="90">
        <v>47849</v>
      </c>
      <c r="N33" s="91" t="s">
        <v>156</v>
      </c>
      <c r="O33" s="53">
        <f t="shared" si="0"/>
        <v>31641.575213109107</v>
      </c>
      <c r="P33" s="53">
        <f t="shared" si="1"/>
        <v>667316.62929477124</v>
      </c>
    </row>
    <row r="34" spans="12:16" x14ac:dyDescent="0.25">
      <c r="L34" s="104">
        <v>16</v>
      </c>
      <c r="M34" s="90">
        <v>48214</v>
      </c>
      <c r="N34" s="91" t="s">
        <v>157</v>
      </c>
      <c r="O34" s="53">
        <f t="shared" si="0"/>
        <v>31641.575213109107</v>
      </c>
      <c r="P34" s="53">
        <f t="shared" si="1"/>
        <v>728987.45282614499</v>
      </c>
    </row>
    <row r="35" spans="12:16" x14ac:dyDescent="0.25">
      <c r="L35" s="104">
        <v>17</v>
      </c>
      <c r="M35" s="90">
        <v>48580</v>
      </c>
      <c r="N35" s="91" t="s">
        <v>158</v>
      </c>
      <c r="O35" s="53">
        <f t="shared" si="0"/>
        <v>31641.575213109107</v>
      </c>
      <c r="P35" s="53">
        <f t="shared" si="1"/>
        <v>793433.46341643063</v>
      </c>
    </row>
    <row r="36" spans="12:16" x14ac:dyDescent="0.25">
      <c r="L36" s="104">
        <v>18</v>
      </c>
      <c r="M36" s="90">
        <v>48945</v>
      </c>
      <c r="N36" s="91" t="s">
        <v>159</v>
      </c>
      <c r="O36" s="53">
        <f t="shared" si="0"/>
        <v>31641.575213109107</v>
      </c>
      <c r="P36" s="53">
        <f t="shared" si="1"/>
        <v>860779.54448327911</v>
      </c>
    </row>
    <row r="37" spans="12:16" x14ac:dyDescent="0.25">
      <c r="L37" s="104">
        <v>19</v>
      </c>
      <c r="M37" s="90">
        <v>49310</v>
      </c>
      <c r="N37" s="91" t="s">
        <v>160</v>
      </c>
      <c r="O37" s="53">
        <f t="shared" si="0"/>
        <v>31641.575213109107</v>
      </c>
      <c r="P37" s="53">
        <f t="shared" si="1"/>
        <v>931156.19919813576</v>
      </c>
    </row>
    <row r="38" spans="12:16" x14ac:dyDescent="0.25">
      <c r="L38" s="104">
        <v>20</v>
      </c>
      <c r="M38" s="90">
        <v>49675</v>
      </c>
      <c r="N38" s="91" t="s">
        <v>161</v>
      </c>
      <c r="O38" s="53">
        <f t="shared" si="0"/>
        <v>31641.575213109107</v>
      </c>
      <c r="P38" s="53">
        <f t="shared" si="1"/>
        <v>1004699.8033751609</v>
      </c>
    </row>
    <row r="39" spans="12:16" x14ac:dyDescent="0.25">
      <c r="L39" s="104">
        <v>21</v>
      </c>
      <c r="M39" s="90">
        <v>50041</v>
      </c>
      <c r="N39" s="91" t="s">
        <v>162</v>
      </c>
      <c r="O39" s="53">
        <f t="shared" si="0"/>
        <v>31641.575213109107</v>
      </c>
      <c r="P39" s="53">
        <f t="shared" si="1"/>
        <v>1081552.8697401523</v>
      </c>
    </row>
    <row r="40" spans="12:16" x14ac:dyDescent="0.25">
      <c r="L40" s="104">
        <v>22</v>
      </c>
      <c r="M40" s="90">
        <v>50406</v>
      </c>
      <c r="N40" s="91" t="s">
        <v>163</v>
      </c>
      <c r="O40" s="53">
        <f t="shared" si="0"/>
        <v>31641.575213109107</v>
      </c>
      <c r="P40" s="53">
        <f t="shared" si="1"/>
        <v>1161864.3240915681</v>
      </c>
    </row>
    <row r="41" spans="12:16" x14ac:dyDescent="0.25">
      <c r="L41" s="104">
        <v>23</v>
      </c>
      <c r="M41" s="90">
        <v>50771</v>
      </c>
      <c r="N41" s="91" t="s">
        <v>164</v>
      </c>
      <c r="O41" s="53">
        <f t="shared" si="0"/>
        <v>31641.575213109107</v>
      </c>
      <c r="P41" s="53">
        <f t="shared" si="1"/>
        <v>1245789.7938887978</v>
      </c>
    </row>
    <row r="42" spans="12:16" x14ac:dyDescent="0.25">
      <c r="L42" s="104">
        <v>24</v>
      </c>
      <c r="M42" s="90">
        <v>51136</v>
      </c>
      <c r="N42" s="91" t="s">
        <v>165</v>
      </c>
      <c r="O42" s="53">
        <f t="shared" si="0"/>
        <v>31641.575213109107</v>
      </c>
      <c r="P42" s="53">
        <f t="shared" si="1"/>
        <v>1333491.9098269027</v>
      </c>
    </row>
    <row r="43" spans="12:16" x14ac:dyDescent="0.25">
      <c r="L43" s="104">
        <v>25</v>
      </c>
      <c r="M43" s="90">
        <v>51502</v>
      </c>
      <c r="N43" s="91" t="s">
        <v>166</v>
      </c>
      <c r="O43" s="53">
        <f t="shared" si="0"/>
        <v>31641.575213109107</v>
      </c>
      <c r="P43" s="53">
        <f t="shared" si="1"/>
        <v>1425140.6209822223</v>
      </c>
    </row>
    <row r="44" spans="12:16" x14ac:dyDescent="0.25">
      <c r="L44" s="104">
        <v>26</v>
      </c>
      <c r="M44" s="90">
        <v>51867</v>
      </c>
      <c r="N44" s="91" t="s">
        <v>167</v>
      </c>
      <c r="O44" s="53">
        <f t="shared" si="0"/>
        <v>31641.575213109107</v>
      </c>
      <c r="P44" s="53">
        <f t="shared" si="1"/>
        <v>1520913.5241395312</v>
      </c>
    </row>
    <row r="45" spans="12:16" x14ac:dyDescent="0.25">
      <c r="L45" s="104">
        <v>27</v>
      </c>
      <c r="M45" s="90">
        <v>52232</v>
      </c>
      <c r="N45" s="91" t="s">
        <v>168</v>
      </c>
      <c r="O45" s="53">
        <f t="shared" si="0"/>
        <v>31641.575213109107</v>
      </c>
      <c r="P45" s="53">
        <f t="shared" si="1"/>
        <v>1620996.2079389191</v>
      </c>
    </row>
    <row r="46" spans="12:16" x14ac:dyDescent="0.25">
      <c r="L46" s="104">
        <v>28</v>
      </c>
      <c r="M46" s="90">
        <v>52597</v>
      </c>
      <c r="N46" s="91" t="s">
        <v>169</v>
      </c>
      <c r="O46" s="53">
        <f t="shared" si="0"/>
        <v>31641.575213109107</v>
      </c>
      <c r="P46" s="53">
        <f t="shared" si="1"/>
        <v>1725582.6125092795</v>
      </c>
    </row>
    <row r="47" spans="12:16" x14ac:dyDescent="0.25">
      <c r="L47" s="104">
        <v>29</v>
      </c>
      <c r="M47" s="90">
        <v>52963</v>
      </c>
      <c r="N47" s="91" t="s">
        <v>170</v>
      </c>
      <c r="O47" s="53">
        <f t="shared" si="0"/>
        <v>31641.575213109107</v>
      </c>
      <c r="P47" s="53">
        <f t="shared" si="1"/>
        <v>1834875.405285306</v>
      </c>
    </row>
    <row r="48" spans="12:16" x14ac:dyDescent="0.25">
      <c r="L48" s="133">
        <v>30</v>
      </c>
      <c r="M48" s="134">
        <v>53328</v>
      </c>
      <c r="N48" s="135" t="s">
        <v>281</v>
      </c>
      <c r="O48" s="136">
        <f t="shared" si="0"/>
        <v>31641.575213109107</v>
      </c>
      <c r="P48" s="136">
        <f t="shared" si="1"/>
        <v>1949086.3737362539</v>
      </c>
    </row>
    <row r="49" spans="8:16" x14ac:dyDescent="0.25">
      <c r="L49" s="104">
        <v>31</v>
      </c>
      <c r="M49" s="90">
        <v>53693</v>
      </c>
      <c r="N49" s="91" t="s">
        <v>196</v>
      </c>
      <c r="O49" s="113">
        <v>0</v>
      </c>
      <c r="P49" s="100">
        <f t="shared" si="1"/>
        <v>2036795.2605543851</v>
      </c>
    </row>
    <row r="50" spans="8:16" x14ac:dyDescent="0.25">
      <c r="L50" s="104">
        <v>32</v>
      </c>
      <c r="M50" s="90">
        <v>54058</v>
      </c>
      <c r="N50" s="91" t="s">
        <v>196</v>
      </c>
      <c r="O50" s="113">
        <v>0</v>
      </c>
      <c r="P50" s="100">
        <f t="shared" si="1"/>
        <v>2128451.0472793323</v>
      </c>
    </row>
    <row r="51" spans="8:16" x14ac:dyDescent="0.25">
      <c r="L51" s="133">
        <v>33</v>
      </c>
      <c r="M51" s="134">
        <v>54424</v>
      </c>
      <c r="N51" s="135" t="s">
        <v>196</v>
      </c>
      <c r="O51" s="133">
        <v>0</v>
      </c>
      <c r="P51" s="136">
        <f t="shared" si="1"/>
        <v>2224231.3444069023</v>
      </c>
    </row>
    <row r="52" spans="8:16" x14ac:dyDescent="0.25">
      <c r="L52" s="104">
        <v>34</v>
      </c>
      <c r="M52" s="90">
        <v>54789</v>
      </c>
      <c r="N52" s="91" t="s">
        <v>171</v>
      </c>
      <c r="O52" s="113">
        <v>-150000</v>
      </c>
      <c r="P52" s="100">
        <f t="shared" si="1"/>
        <v>2174321.7549052127</v>
      </c>
    </row>
    <row r="53" spans="8:16" x14ac:dyDescent="0.25">
      <c r="L53" s="104">
        <v>35</v>
      </c>
      <c r="M53" s="90">
        <v>55154</v>
      </c>
      <c r="N53" s="91" t="s">
        <v>172</v>
      </c>
      <c r="O53" s="113">
        <v>-150000</v>
      </c>
      <c r="P53" s="100">
        <f t="shared" si="1"/>
        <v>2122166.2338759471</v>
      </c>
    </row>
    <row r="54" spans="8:16" x14ac:dyDescent="0.25">
      <c r="L54" s="104">
        <v>36</v>
      </c>
      <c r="M54" s="90">
        <v>55519</v>
      </c>
      <c r="N54" s="91" t="s">
        <v>173</v>
      </c>
      <c r="O54" s="113">
        <v>-150000</v>
      </c>
      <c r="P54" s="100">
        <f t="shared" si="1"/>
        <v>2067663.7144003646</v>
      </c>
    </row>
    <row r="55" spans="8:16" x14ac:dyDescent="0.25">
      <c r="H55" s="100"/>
      <c r="L55" s="113">
        <v>37</v>
      </c>
      <c r="M55" s="90">
        <v>55885</v>
      </c>
      <c r="N55" s="91" t="s">
        <v>174</v>
      </c>
      <c r="O55" s="113">
        <v>-150000</v>
      </c>
      <c r="P55" s="100">
        <f t="shared" si="1"/>
        <v>2010708.5815483807</v>
      </c>
    </row>
    <row r="56" spans="8:16" x14ac:dyDescent="0.25">
      <c r="L56" s="113">
        <v>38</v>
      </c>
      <c r="M56" s="90">
        <v>56250</v>
      </c>
      <c r="N56" s="91" t="s">
        <v>175</v>
      </c>
      <c r="O56" s="113">
        <v>-150000</v>
      </c>
      <c r="P56" s="100">
        <f t="shared" si="1"/>
        <v>1951190.4677180578</v>
      </c>
    </row>
    <row r="57" spans="8:16" x14ac:dyDescent="0.25">
      <c r="L57" s="113">
        <v>39</v>
      </c>
      <c r="M57" s="90">
        <v>56615</v>
      </c>
      <c r="N57" s="91" t="s">
        <v>176</v>
      </c>
      <c r="O57" s="113">
        <v>-150000</v>
      </c>
      <c r="P57" s="100">
        <f t="shared" si="1"/>
        <v>1888994.0387653701</v>
      </c>
    </row>
    <row r="58" spans="8:16" x14ac:dyDescent="0.25">
      <c r="L58" s="113">
        <v>40</v>
      </c>
      <c r="M58" s="90">
        <v>56980</v>
      </c>
      <c r="N58" s="91" t="s">
        <v>177</v>
      </c>
      <c r="O58" s="113">
        <v>-150000</v>
      </c>
      <c r="P58" s="100">
        <f t="shared" si="1"/>
        <v>1823998.7705098116</v>
      </c>
    </row>
    <row r="59" spans="8:16" x14ac:dyDescent="0.25">
      <c r="L59" s="113">
        <v>41</v>
      </c>
      <c r="M59" s="90">
        <v>57346</v>
      </c>
      <c r="N59" s="91" t="s">
        <v>178</v>
      </c>
      <c r="O59" s="113">
        <v>-150000</v>
      </c>
      <c r="P59" s="100">
        <f t="shared" si="1"/>
        <v>1756078.715182753</v>
      </c>
    </row>
    <row r="60" spans="8:16" x14ac:dyDescent="0.25">
      <c r="L60" s="113">
        <v>42</v>
      </c>
      <c r="M60" s="90">
        <v>57711</v>
      </c>
      <c r="N60" s="91" t="s">
        <v>179</v>
      </c>
      <c r="O60" s="113">
        <v>-150000</v>
      </c>
      <c r="P60" s="100">
        <f t="shared" si="1"/>
        <v>1685102.2573659767</v>
      </c>
    </row>
    <row r="61" spans="8:16" x14ac:dyDescent="0.25">
      <c r="L61" s="113">
        <v>43</v>
      </c>
      <c r="M61" s="90">
        <v>58076</v>
      </c>
      <c r="N61" s="91" t="s">
        <v>180</v>
      </c>
      <c r="O61" s="113">
        <v>-150000</v>
      </c>
      <c r="P61" s="100">
        <f t="shared" si="1"/>
        <v>1610931.8589474456</v>
      </c>
    </row>
    <row r="62" spans="8:16" x14ac:dyDescent="0.25">
      <c r="L62" s="113">
        <v>44</v>
      </c>
      <c r="M62" s="90">
        <v>58441</v>
      </c>
      <c r="N62" s="91" t="s">
        <v>181</v>
      </c>
      <c r="O62" s="113">
        <v>-150000</v>
      </c>
      <c r="P62" s="100">
        <f t="shared" si="1"/>
        <v>1533423.7926000806</v>
      </c>
    </row>
    <row r="63" spans="8:16" x14ac:dyDescent="0.25">
      <c r="L63" s="113">
        <v>45</v>
      </c>
      <c r="M63" s="90">
        <v>58807</v>
      </c>
      <c r="N63" s="91" t="s">
        <v>182</v>
      </c>
      <c r="O63" s="113">
        <v>-150000</v>
      </c>
      <c r="P63" s="100">
        <f t="shared" si="1"/>
        <v>1452427.8632670841</v>
      </c>
    </row>
    <row r="64" spans="8:16" x14ac:dyDescent="0.25">
      <c r="L64" s="113">
        <v>46</v>
      </c>
      <c r="M64" s="90">
        <v>59172</v>
      </c>
      <c r="N64" s="91" t="s">
        <v>183</v>
      </c>
      <c r="O64" s="113">
        <v>-150000</v>
      </c>
      <c r="P64" s="100">
        <f t="shared" si="1"/>
        <v>1367787.1171141027</v>
      </c>
    </row>
    <row r="65" spans="12:16" x14ac:dyDescent="0.25">
      <c r="L65" s="113">
        <v>47</v>
      </c>
      <c r="M65" s="90">
        <v>59537</v>
      </c>
      <c r="N65" s="91" t="s">
        <v>184</v>
      </c>
      <c r="O65" s="113">
        <v>-150000</v>
      </c>
      <c r="P65" s="100">
        <f t="shared" si="1"/>
        <v>1279337.5373842372</v>
      </c>
    </row>
    <row r="66" spans="12:16" x14ac:dyDescent="0.25">
      <c r="L66" s="113">
        <v>48</v>
      </c>
      <c r="M66" s="90">
        <v>59902</v>
      </c>
      <c r="N66" s="91" t="s">
        <v>185</v>
      </c>
      <c r="O66" s="113">
        <v>-150000</v>
      </c>
      <c r="P66" s="100">
        <f t="shared" si="1"/>
        <v>1186907.7265665277</v>
      </c>
    </row>
    <row r="67" spans="12:16" x14ac:dyDescent="0.25">
      <c r="L67" s="113">
        <v>49</v>
      </c>
      <c r="M67" s="90">
        <v>60268</v>
      </c>
      <c r="N67" s="91" t="s">
        <v>186</v>
      </c>
      <c r="O67" s="113">
        <v>-150000</v>
      </c>
      <c r="P67" s="100">
        <f t="shared" si="1"/>
        <v>1090318.5742620213</v>
      </c>
    </row>
    <row r="68" spans="12:16" x14ac:dyDescent="0.25">
      <c r="L68" s="113">
        <v>50</v>
      </c>
      <c r="M68" s="90">
        <v>60633</v>
      </c>
      <c r="N68" s="91" t="s">
        <v>187</v>
      </c>
      <c r="O68" s="113">
        <v>-150000</v>
      </c>
      <c r="P68" s="100">
        <f t="shared" si="1"/>
        <v>989382.91010381212</v>
      </c>
    </row>
    <row r="69" spans="12:16" x14ac:dyDescent="0.25">
      <c r="L69" s="113">
        <v>51</v>
      </c>
      <c r="M69" s="90">
        <v>60998</v>
      </c>
      <c r="N69" s="91" t="s">
        <v>188</v>
      </c>
      <c r="O69" s="113">
        <v>-150000</v>
      </c>
      <c r="P69" s="100">
        <f t="shared" si="1"/>
        <v>883905.14105848363</v>
      </c>
    </row>
    <row r="70" spans="12:16" x14ac:dyDescent="0.25">
      <c r="L70" s="113">
        <v>52</v>
      </c>
      <c r="M70" s="90">
        <v>61363</v>
      </c>
      <c r="N70" s="91" t="s">
        <v>189</v>
      </c>
      <c r="O70" s="113">
        <v>-150000</v>
      </c>
      <c r="P70" s="100">
        <f t="shared" si="1"/>
        <v>773680.87240611529</v>
      </c>
    </row>
    <row r="71" spans="12:16" x14ac:dyDescent="0.25">
      <c r="L71" s="113">
        <v>53</v>
      </c>
      <c r="M71" s="90">
        <v>61729</v>
      </c>
      <c r="N71" s="91" t="s">
        <v>190</v>
      </c>
      <c r="O71" s="113">
        <v>-150000</v>
      </c>
      <c r="P71" s="100">
        <f t="shared" si="1"/>
        <v>658496.51166439045</v>
      </c>
    </row>
    <row r="72" spans="12:16" x14ac:dyDescent="0.25">
      <c r="L72" s="113">
        <v>54</v>
      </c>
      <c r="M72" s="90">
        <v>62094</v>
      </c>
      <c r="N72" s="91" t="s">
        <v>203</v>
      </c>
      <c r="O72" s="113">
        <v>-150000</v>
      </c>
      <c r="P72" s="100">
        <f t="shared" si="1"/>
        <v>538128.85468928795</v>
      </c>
    </row>
    <row r="73" spans="12:16" x14ac:dyDescent="0.25">
      <c r="L73" s="113">
        <v>55</v>
      </c>
      <c r="M73" s="90">
        <v>62459</v>
      </c>
      <c r="N73" s="91" t="s">
        <v>204</v>
      </c>
      <c r="O73" s="113">
        <v>-150000</v>
      </c>
      <c r="P73" s="100">
        <f t="shared" si="1"/>
        <v>412344.65315030585</v>
      </c>
    </row>
    <row r="74" spans="12:16" x14ac:dyDescent="0.25">
      <c r="L74" s="113">
        <v>56</v>
      </c>
      <c r="M74" s="90">
        <v>62824</v>
      </c>
      <c r="N74" s="91" t="s">
        <v>205</v>
      </c>
      <c r="O74" s="113">
        <v>-150000</v>
      </c>
      <c r="P74" s="100">
        <f t="shared" si="1"/>
        <v>280900.16254206956</v>
      </c>
    </row>
    <row r="75" spans="12:16" x14ac:dyDescent="0.25">
      <c r="L75" s="113">
        <v>57</v>
      </c>
      <c r="M75" s="90">
        <v>63190</v>
      </c>
      <c r="N75" s="91" t="s">
        <v>206</v>
      </c>
      <c r="O75" s="113">
        <v>-150000</v>
      </c>
      <c r="P75" s="100">
        <f t="shared" si="1"/>
        <v>143540.66985646269</v>
      </c>
    </row>
    <row r="76" spans="12:16" x14ac:dyDescent="0.25">
      <c r="L76" s="113">
        <v>58</v>
      </c>
      <c r="M76" s="90">
        <v>63555</v>
      </c>
      <c r="N76" s="91" t="s">
        <v>207</v>
      </c>
      <c r="O76" s="113">
        <v>-150000</v>
      </c>
      <c r="P76" s="100">
        <f t="shared" si="1"/>
        <v>3.4924596548080444E-9</v>
      </c>
    </row>
    <row r="77" spans="12:16" x14ac:dyDescent="0.25">
      <c r="L77" s="113"/>
      <c r="M77" s="90"/>
      <c r="O77" s="113"/>
      <c r="P77" s="100"/>
    </row>
    <row r="78" spans="12:16" x14ac:dyDescent="0.25">
      <c r="L78" s="113"/>
      <c r="M78" s="90"/>
      <c r="O78" s="113"/>
      <c r="P78" s="100"/>
    </row>
    <row r="79" spans="12:16" x14ac:dyDescent="0.25">
      <c r="L79" s="113"/>
      <c r="M79" s="90"/>
      <c r="O79" s="113"/>
      <c r="P79" s="100"/>
    </row>
    <row r="80" spans="12:16" x14ac:dyDescent="0.25">
      <c r="L80" s="113"/>
      <c r="M80" s="90"/>
      <c r="O80" s="113"/>
      <c r="P80" s="100"/>
    </row>
    <row r="81" spans="13:16" x14ac:dyDescent="0.25">
      <c r="M81" s="90"/>
      <c r="O81" s="100"/>
      <c r="P81" s="100"/>
    </row>
    <row r="82" spans="13:16" x14ac:dyDescent="0.25">
      <c r="M82" s="90"/>
      <c r="O82" s="100"/>
      <c r="P82" s="100"/>
    </row>
    <row r="83" spans="13:16" x14ac:dyDescent="0.25">
      <c r="M83" s="90"/>
      <c r="O83" s="100"/>
      <c r="P83" s="100"/>
    </row>
    <row r="84" spans="13:16" x14ac:dyDescent="0.25">
      <c r="M84" s="90"/>
      <c r="O84" s="100"/>
      <c r="P84" s="100"/>
    </row>
    <row r="85" spans="13:16" x14ac:dyDescent="0.25">
      <c r="M85" s="90"/>
      <c r="O85" s="100"/>
      <c r="P85" s="100"/>
    </row>
  </sheetData>
  <mergeCells count="1">
    <mergeCell ref="B18:K18"/>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zoomScale="145" zoomScaleNormal="145" workbookViewId="0">
      <selection activeCell="M23" sqref="M23"/>
    </sheetView>
  </sheetViews>
  <sheetFormatPr defaultColWidth="9.140625" defaultRowHeight="15" x14ac:dyDescent="0.25"/>
  <cols>
    <col min="1" max="1" width="4.28515625" style="113" customWidth="1"/>
    <col min="2" max="5" width="9.140625" style="113"/>
    <col min="6" max="6" width="13.28515625" style="113" bestFit="1" customWidth="1"/>
    <col min="7" max="7" width="12" style="113" customWidth="1"/>
    <col min="8" max="8" width="12.140625" style="113" customWidth="1"/>
    <col min="9" max="9" width="14.140625" style="113" customWidth="1"/>
    <col min="10" max="16384" width="9.140625" style="113"/>
  </cols>
  <sheetData>
    <row r="2" spans="2:11" x14ac:dyDescent="0.25">
      <c r="B2" s="105" t="s">
        <v>224</v>
      </c>
    </row>
    <row r="4" spans="2:11" x14ac:dyDescent="0.25">
      <c r="B4" s="105" t="s">
        <v>61</v>
      </c>
    </row>
    <row r="5" spans="2:11" s="105" customFormat="1" x14ac:dyDescent="0.25">
      <c r="B5" s="7" t="s">
        <v>8</v>
      </c>
      <c r="F5" s="115">
        <v>225000</v>
      </c>
    </row>
    <row r="6" spans="2:11" s="105" customFormat="1" x14ac:dyDescent="0.25">
      <c r="B6" s="7" t="s">
        <v>225</v>
      </c>
      <c r="F6" s="116">
        <v>3</v>
      </c>
    </row>
    <row r="7" spans="2:11" s="105" customFormat="1" x14ac:dyDescent="0.25">
      <c r="B7" s="7" t="s">
        <v>9</v>
      </c>
      <c r="F7" s="117">
        <v>4.9000000000000002E-2</v>
      </c>
    </row>
    <row r="8" spans="2:11" s="105" customFormat="1" x14ac:dyDescent="0.25">
      <c r="B8" s="7"/>
      <c r="F8" s="118"/>
    </row>
    <row r="9" spans="2:11" s="105" customFormat="1" x14ac:dyDescent="0.25">
      <c r="B9" s="7" t="s">
        <v>226</v>
      </c>
      <c r="F9" s="119">
        <v>25</v>
      </c>
    </row>
    <row r="10" spans="2:11" s="105" customFormat="1" x14ac:dyDescent="0.25">
      <c r="B10" s="7"/>
    </row>
    <row r="11" spans="2:11" x14ac:dyDescent="0.25">
      <c r="B11" s="120" t="s">
        <v>227</v>
      </c>
    </row>
    <row r="12" spans="2:11" x14ac:dyDescent="0.25">
      <c r="B12" s="120" t="s">
        <v>228</v>
      </c>
    </row>
    <row r="13" spans="2:11" x14ac:dyDescent="0.25">
      <c r="B13" s="120" t="s">
        <v>229</v>
      </c>
    </row>
    <row r="14" spans="2:11" x14ac:dyDescent="0.25">
      <c r="B14" s="120" t="s">
        <v>230</v>
      </c>
    </row>
    <row r="15" spans="2:11" ht="15.75" thickBot="1" x14ac:dyDescent="0.3"/>
    <row r="16" spans="2:11" ht="15.75" thickBot="1" x14ac:dyDescent="0.3">
      <c r="B16" s="145" t="s">
        <v>231</v>
      </c>
      <c r="C16" s="145"/>
      <c r="D16" s="145"/>
      <c r="E16" s="145"/>
      <c r="F16" s="145"/>
      <c r="G16" s="145"/>
      <c r="H16" s="145"/>
      <c r="I16" s="145"/>
      <c r="J16" s="145"/>
      <c r="K16" s="145"/>
    </row>
    <row r="18" spans="2:11" x14ac:dyDescent="0.25">
      <c r="B18" s="121" t="s">
        <v>232</v>
      </c>
    </row>
    <row r="19" spans="2:11" ht="15.75" thickBot="1" x14ac:dyDescent="0.3"/>
    <row r="20" spans="2:11" ht="15.75" thickBot="1" x14ac:dyDescent="0.3">
      <c r="C20" s="105" t="s">
        <v>233</v>
      </c>
      <c r="I20" s="48">
        <f>PMT(F7/12,F6*12,-F5)</f>
        <v>6733.3544951161903</v>
      </c>
    </row>
    <row r="21" spans="2:11" ht="15.75" thickBot="1" x14ac:dyDescent="0.3">
      <c r="C21" s="105" t="s">
        <v>234</v>
      </c>
      <c r="I21" s="48">
        <f>I28</f>
        <v>321.34170965128368</v>
      </c>
    </row>
    <row r="22" spans="2:11" ht="15.75" thickBot="1" x14ac:dyDescent="0.3">
      <c r="C22" s="105" t="s">
        <v>235</v>
      </c>
      <c r="I22" s="48">
        <f t="shared" ref="I22:I23" si="0">I29</f>
        <v>6412.0127854649063</v>
      </c>
    </row>
    <row r="23" spans="2:11" ht="15.75" thickBot="1" x14ac:dyDescent="0.3">
      <c r="C23" s="105" t="s">
        <v>236</v>
      </c>
      <c r="I23" s="48">
        <f t="shared" si="0"/>
        <v>72283.916108727019</v>
      </c>
    </row>
    <row r="24" spans="2:11" ht="15.75" thickBot="1" x14ac:dyDescent="0.3"/>
    <row r="25" spans="2:11" ht="15.75" thickBot="1" x14ac:dyDescent="0.3">
      <c r="B25" s="145" t="s">
        <v>110</v>
      </c>
      <c r="C25" s="145"/>
      <c r="D25" s="145"/>
      <c r="E25" s="145"/>
      <c r="F25" s="145"/>
      <c r="G25" s="145"/>
      <c r="H25" s="145"/>
      <c r="I25" s="145"/>
      <c r="J25" s="145"/>
      <c r="K25" s="145"/>
    </row>
    <row r="27" spans="2:11" x14ac:dyDescent="0.25">
      <c r="C27" s="113" t="s">
        <v>237</v>
      </c>
      <c r="I27" s="100">
        <f>PV(F7/12,F6*12-F9+1,-I20)</f>
        <v>78695.928894191922</v>
      </c>
    </row>
    <row r="28" spans="2:11" x14ac:dyDescent="0.25">
      <c r="C28" s="113" t="s">
        <v>238</v>
      </c>
      <c r="I28" s="100">
        <f>I27*F7/12</f>
        <v>321.34170965128368</v>
      </c>
    </row>
    <row r="29" spans="2:11" x14ac:dyDescent="0.25">
      <c r="C29" s="113" t="s">
        <v>239</v>
      </c>
      <c r="I29" s="100">
        <f>I20-I28</f>
        <v>6412.0127854649063</v>
      </c>
    </row>
    <row r="30" spans="2:11" x14ac:dyDescent="0.25">
      <c r="C30" s="113" t="s">
        <v>240</v>
      </c>
      <c r="I30" s="100">
        <f>I27-I29</f>
        <v>72283.916108727019</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1"/>
  <sheetViews>
    <sheetView zoomScale="115" zoomScaleNormal="115" workbookViewId="0">
      <selection activeCell="G17" sqref="G17"/>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98</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9" t="s">
        <v>2</v>
      </c>
    </row>
    <row r="12" spans="2:8" ht="14.65" customHeight="1" x14ac:dyDescent="0.25">
      <c r="C12" s="109" t="s">
        <v>91</v>
      </c>
    </row>
    <row r="13" spans="2:8" ht="14.65" customHeight="1" x14ac:dyDescent="0.25">
      <c r="C13" s="109" t="s">
        <v>256</v>
      </c>
    </row>
    <row r="14" spans="2:8" ht="14.65" customHeight="1" x14ac:dyDescent="0.25">
      <c r="C14" s="109" t="s">
        <v>99</v>
      </c>
    </row>
    <row r="15" spans="2:8" ht="15.75" thickBot="1" x14ac:dyDescent="0.3"/>
    <row r="16" spans="2:8" ht="15.75" thickBot="1" x14ac:dyDescent="0.3">
      <c r="D16" s="60" t="s">
        <v>90</v>
      </c>
      <c r="E16" s="61" t="s">
        <v>4</v>
      </c>
      <c r="F16" s="58"/>
    </row>
    <row r="17" spans="3:10" x14ac:dyDescent="0.25">
      <c r="D17" s="62">
        <v>1</v>
      </c>
      <c r="E17" s="65">
        <v>0</v>
      </c>
      <c r="F17" s="58"/>
    </row>
    <row r="18" spans="3:10" x14ac:dyDescent="0.25">
      <c r="D18" s="64">
        <v>2</v>
      </c>
      <c r="E18" s="65">
        <v>0</v>
      </c>
      <c r="F18" s="58"/>
    </row>
    <row r="19" spans="3:10" x14ac:dyDescent="0.25">
      <c r="D19" s="64">
        <v>3</v>
      </c>
      <c r="E19" s="97">
        <v>0</v>
      </c>
    </row>
    <row r="20" spans="3:10" ht="15.75" thickBot="1" x14ac:dyDescent="0.3">
      <c r="D20" s="64">
        <v>4</v>
      </c>
      <c r="E20" s="97">
        <v>0</v>
      </c>
    </row>
    <row r="21" spans="3:10" ht="15.75" thickBot="1" x14ac:dyDescent="0.3">
      <c r="D21" s="64">
        <v>5</v>
      </c>
      <c r="E21" s="96">
        <v>5500</v>
      </c>
      <c r="F21" s="58" t="s">
        <v>5</v>
      </c>
      <c r="J21" s="123"/>
    </row>
    <row r="22" spans="3:10" x14ac:dyDescent="0.25">
      <c r="D22" s="64">
        <v>6</v>
      </c>
      <c r="E22" s="97">
        <f t="shared" ref="E22:E24" si="0">E21</f>
        <v>5500</v>
      </c>
      <c r="F22" s="58"/>
      <c r="J22" s="123"/>
    </row>
    <row r="23" spans="3:10" x14ac:dyDescent="0.25">
      <c r="D23" s="64">
        <v>7</v>
      </c>
      <c r="E23" s="97">
        <f t="shared" si="0"/>
        <v>5500</v>
      </c>
      <c r="F23" s="58"/>
      <c r="J23" s="123"/>
    </row>
    <row r="24" spans="3:10" x14ac:dyDescent="0.25">
      <c r="D24" s="64">
        <v>8</v>
      </c>
      <c r="E24" s="97">
        <f t="shared" si="0"/>
        <v>5500</v>
      </c>
      <c r="F24" s="58"/>
      <c r="J24" s="123"/>
    </row>
    <row r="25" spans="3:10" ht="15.75" thickBot="1" x14ac:dyDescent="0.3">
      <c r="D25" s="66">
        <v>9</v>
      </c>
      <c r="E25" s="65">
        <f t="shared" ref="E25" si="1">E24</f>
        <v>5500</v>
      </c>
      <c r="F25" s="58"/>
      <c r="J25" s="123"/>
    </row>
    <row r="26" spans="3:10" s="57" customFormat="1" ht="15.75" thickBot="1" x14ac:dyDescent="0.3">
      <c r="D26" s="59">
        <v>10</v>
      </c>
      <c r="E26" s="63">
        <v>7500</v>
      </c>
      <c r="F26" s="58" t="s">
        <v>5</v>
      </c>
      <c r="J26" s="123"/>
    </row>
    <row r="27" spans="3:10" x14ac:dyDescent="0.25">
      <c r="J27" s="123"/>
    </row>
    <row r="28" spans="3:10" x14ac:dyDescent="0.25">
      <c r="C28" t="s">
        <v>92</v>
      </c>
      <c r="E28" s="3">
        <v>7.4999999999999997E-2</v>
      </c>
      <c r="I28" s="4"/>
    </row>
    <row r="30" spans="3:10" x14ac:dyDescent="0.25">
      <c r="C30" t="s">
        <v>93</v>
      </c>
    </row>
    <row r="31" spans="3:10" x14ac:dyDescent="0.25">
      <c r="C31" t="s">
        <v>94</v>
      </c>
    </row>
    <row r="32" spans="3:10" x14ac:dyDescent="0.25">
      <c r="C32" s="67" t="s">
        <v>241</v>
      </c>
    </row>
    <row r="33" spans="2:8" ht="15.75" thickBot="1" x14ac:dyDescent="0.3"/>
    <row r="34" spans="2:8" ht="15.75" thickBot="1" x14ac:dyDescent="0.3">
      <c r="C34" t="s">
        <v>95</v>
      </c>
      <c r="D34" s="146">
        <f>PV(E28,4,0,PV(E28,6,E21,E26-E21))</f>
        <v>20301.538631429699</v>
      </c>
      <c r="E34" s="147"/>
    </row>
    <row r="36" spans="2:8" x14ac:dyDescent="0.25">
      <c r="B36" s="71" t="s">
        <v>1</v>
      </c>
      <c r="C36" s="68" t="s">
        <v>115</v>
      </c>
      <c r="D36" s="68"/>
      <c r="E36" s="68"/>
      <c r="F36" s="68"/>
      <c r="G36" s="68"/>
      <c r="H36" s="68"/>
    </row>
    <row r="37" spans="2:8" s="67" customFormat="1" x14ac:dyDescent="0.25">
      <c r="B37" s="68"/>
      <c r="C37" s="73" t="s">
        <v>116</v>
      </c>
      <c r="D37" s="68"/>
      <c r="E37" s="68"/>
      <c r="F37" s="68"/>
      <c r="G37" s="68"/>
      <c r="H37" s="68"/>
    </row>
    <row r="38" spans="2:8" s="67" customFormat="1" x14ac:dyDescent="0.25">
      <c r="B38" s="68"/>
      <c r="C38" s="73" t="s">
        <v>257</v>
      </c>
      <c r="D38" s="68"/>
      <c r="E38" s="68"/>
      <c r="F38" s="68"/>
      <c r="G38" s="68"/>
      <c r="H38" s="68"/>
    </row>
    <row r="39" spans="2:8" s="67" customFormat="1" ht="15.75" thickBot="1" x14ac:dyDescent="0.3">
      <c r="B39" s="68"/>
      <c r="C39" s="68"/>
      <c r="D39" s="68"/>
      <c r="E39" s="68"/>
      <c r="F39" s="68"/>
      <c r="G39" s="68"/>
      <c r="H39" s="68"/>
    </row>
    <row r="40" spans="2:8" s="67" customFormat="1" ht="15.75" thickBot="1" x14ac:dyDescent="0.3">
      <c r="B40" s="68"/>
      <c r="C40" s="74" t="s">
        <v>117</v>
      </c>
      <c r="D40" s="68"/>
      <c r="E40" s="68"/>
      <c r="F40" s="75">
        <v>0.13</v>
      </c>
      <c r="G40" s="68"/>
      <c r="H40" s="68"/>
    </row>
    <row r="41" spans="2:8" s="67" customFormat="1" ht="15.75" thickBot="1" x14ac:dyDescent="0.3">
      <c r="B41" s="68"/>
      <c r="C41" s="68"/>
      <c r="D41" s="68"/>
      <c r="E41" s="69"/>
      <c r="F41" s="69"/>
      <c r="G41" s="68"/>
      <c r="H41" s="68"/>
    </row>
    <row r="42" spans="2:8" s="67" customFormat="1" ht="45.75" thickBot="1" x14ac:dyDescent="0.3">
      <c r="B42" s="68"/>
      <c r="C42" s="68"/>
      <c r="D42" s="68"/>
      <c r="E42" s="77" t="s">
        <v>118</v>
      </c>
      <c r="F42" s="77" t="s">
        <v>119</v>
      </c>
      <c r="G42" s="68"/>
      <c r="H42" s="68"/>
    </row>
    <row r="43" spans="2:8" s="67" customFormat="1" x14ac:dyDescent="0.25">
      <c r="B43" s="68"/>
      <c r="C43" s="68"/>
      <c r="D43" s="68"/>
      <c r="E43" s="70" t="s">
        <v>79</v>
      </c>
      <c r="F43" s="76">
        <f>FV(F40/4,4,0,-1)-1</f>
        <v>0.1364759281640624</v>
      </c>
      <c r="G43" s="68"/>
      <c r="H43" s="68"/>
    </row>
    <row r="44" spans="2:8" s="67" customFormat="1" x14ac:dyDescent="0.25">
      <c r="B44" s="68"/>
      <c r="C44" s="68"/>
      <c r="D44" s="68"/>
      <c r="E44" s="70" t="s">
        <v>80</v>
      </c>
      <c r="F44" s="76">
        <f>FV(F40/12,12,0,-1)-1</f>
        <v>0.1380324816138776</v>
      </c>
      <c r="G44" s="68"/>
      <c r="H44" s="68"/>
    </row>
    <row r="45" spans="2:8" s="67" customFormat="1" ht="15.75" thickBot="1" x14ac:dyDescent="0.3">
      <c r="B45" s="68"/>
      <c r="C45" s="68"/>
      <c r="D45" s="68"/>
      <c r="E45" s="70" t="s">
        <v>120</v>
      </c>
      <c r="F45" s="76">
        <f>FV(F40/365,365,0,-1)-1</f>
        <v>0.13880202523098473</v>
      </c>
      <c r="G45" s="68"/>
      <c r="H45" s="68"/>
    </row>
    <row r="46" spans="2:8" s="67" customFormat="1" ht="15.75" thickBot="1" x14ac:dyDescent="0.3">
      <c r="B46" s="68"/>
      <c r="C46" s="68"/>
      <c r="D46" s="68"/>
      <c r="E46" s="78" t="s">
        <v>121</v>
      </c>
      <c r="F46" s="72">
        <f>EXP(F40)-1</f>
        <v>0.13882838332462177</v>
      </c>
      <c r="G46" s="68"/>
      <c r="H46" s="68"/>
    </row>
    <row r="47" spans="2:8" s="67" customFormat="1" x14ac:dyDescent="0.25"/>
    <row r="48" spans="2:8" s="67" customFormat="1" x14ac:dyDescent="0.25"/>
    <row r="49" spans="2:7" x14ac:dyDescent="0.25">
      <c r="B49" s="55" t="s">
        <v>6</v>
      </c>
      <c r="C49" t="s">
        <v>76</v>
      </c>
    </row>
    <row r="50" spans="2:7" s="94" customFormat="1" ht="15.75" thickBot="1" x14ac:dyDescent="0.3">
      <c r="B50" s="95"/>
    </row>
    <row r="51" spans="2:7" s="113" customFormat="1" ht="15.75" thickBot="1" x14ac:dyDescent="0.3">
      <c r="B51" s="95"/>
      <c r="D51" s="60" t="s">
        <v>90</v>
      </c>
      <c r="E51" s="61" t="s">
        <v>4</v>
      </c>
    </row>
    <row r="52" spans="2:7" s="113" customFormat="1" x14ac:dyDescent="0.25">
      <c r="B52" s="95"/>
      <c r="D52" s="124">
        <v>0</v>
      </c>
      <c r="E52" s="125">
        <v>3000</v>
      </c>
      <c r="G52" s="128"/>
    </row>
    <row r="53" spans="2:7" s="113" customFormat="1" x14ac:dyDescent="0.25">
      <c r="B53" s="95"/>
      <c r="D53" s="64">
        <v>1</v>
      </c>
      <c r="E53" s="97">
        <v>1500</v>
      </c>
      <c r="G53" s="128"/>
    </row>
    <row r="54" spans="2:7" s="113" customFormat="1" x14ac:dyDescent="0.25">
      <c r="B54" s="95"/>
      <c r="D54" s="64">
        <v>2</v>
      </c>
      <c r="E54" s="97">
        <v>1500</v>
      </c>
      <c r="G54" s="128"/>
    </row>
    <row r="55" spans="2:7" s="113" customFormat="1" x14ac:dyDescent="0.25">
      <c r="B55" s="95"/>
      <c r="D55" s="64">
        <v>3</v>
      </c>
      <c r="E55" s="127">
        <v>1500</v>
      </c>
      <c r="G55" s="128"/>
    </row>
    <row r="56" spans="2:7" s="113" customFormat="1" x14ac:dyDescent="0.25">
      <c r="B56" s="95"/>
      <c r="D56" s="64">
        <v>4</v>
      </c>
      <c r="E56" s="127">
        <v>1500</v>
      </c>
      <c r="G56" s="128"/>
    </row>
    <row r="57" spans="2:7" s="113" customFormat="1" x14ac:dyDescent="0.25">
      <c r="B57" s="95"/>
      <c r="D57" s="64">
        <v>5</v>
      </c>
      <c r="E57" s="127">
        <v>1500</v>
      </c>
      <c r="G57" s="128"/>
    </row>
    <row r="58" spans="2:7" s="113" customFormat="1" x14ac:dyDescent="0.25">
      <c r="B58" s="95"/>
      <c r="D58" s="64">
        <v>6</v>
      </c>
      <c r="E58" s="127" t="s">
        <v>258</v>
      </c>
      <c r="G58" s="128"/>
    </row>
    <row r="59" spans="2:7" s="113" customFormat="1" x14ac:dyDescent="0.25">
      <c r="B59" s="95"/>
      <c r="D59" s="64">
        <v>7</v>
      </c>
      <c r="E59" s="127" t="s">
        <v>258</v>
      </c>
      <c r="G59" s="128"/>
    </row>
    <row r="60" spans="2:7" s="113" customFormat="1" x14ac:dyDescent="0.25">
      <c r="B60" s="95"/>
      <c r="D60" s="64">
        <v>8</v>
      </c>
      <c r="E60" s="127" t="s">
        <v>258</v>
      </c>
      <c r="G60" s="128"/>
    </row>
    <row r="61" spans="2:7" s="113" customFormat="1" x14ac:dyDescent="0.25">
      <c r="B61" s="95"/>
      <c r="D61" s="64">
        <v>9</v>
      </c>
      <c r="E61" s="127" t="s">
        <v>258</v>
      </c>
      <c r="G61" s="128"/>
    </row>
    <row r="62" spans="2:7" s="113" customFormat="1" ht="15.75" thickBot="1" x14ac:dyDescent="0.3">
      <c r="B62" s="95"/>
      <c r="D62" s="59">
        <v>10</v>
      </c>
      <c r="E62" s="126">
        <v>4000</v>
      </c>
      <c r="G62" s="128"/>
    </row>
    <row r="63" spans="2:7" s="113" customFormat="1" x14ac:dyDescent="0.25">
      <c r="B63" s="95"/>
      <c r="G63" s="128"/>
    </row>
    <row r="64" spans="2:7" x14ac:dyDescent="0.25">
      <c r="C64" s="98" t="s">
        <v>283</v>
      </c>
    </row>
    <row r="65" spans="2:15" ht="14.65" customHeight="1" x14ac:dyDescent="0.25">
      <c r="C65" s="109" t="s">
        <v>242</v>
      </c>
    </row>
    <row r="66" spans="2:15" x14ac:dyDescent="0.25">
      <c r="C66" s="98" t="s">
        <v>77</v>
      </c>
      <c r="L66" s="4"/>
    </row>
    <row r="67" spans="2:15" x14ac:dyDescent="0.25">
      <c r="C67" s="98" t="s">
        <v>286</v>
      </c>
    </row>
    <row r="68" spans="2:15" s="113" customFormat="1" x14ac:dyDescent="0.25">
      <c r="C68" s="113" t="s">
        <v>287</v>
      </c>
    </row>
    <row r="69" spans="2:15" s="113" customFormat="1" x14ac:dyDescent="0.25">
      <c r="C69" s="113" t="s">
        <v>288</v>
      </c>
    </row>
    <row r="70" spans="2:15" s="79" customFormat="1" x14ac:dyDescent="0.25">
      <c r="O70" s="100"/>
    </row>
    <row r="71" spans="2:15" x14ac:dyDescent="0.25">
      <c r="J71" s="98"/>
      <c r="K71" s="98"/>
      <c r="L71" s="99"/>
      <c r="N71" s="79"/>
      <c r="O71" s="100"/>
    </row>
    <row r="72" spans="2:15" x14ac:dyDescent="0.25">
      <c r="C72" s="98" t="s">
        <v>284</v>
      </c>
      <c r="D72" s="98"/>
      <c r="E72" s="99">
        <f>PV(0.08,5,-1500)+3000+PV(0.08,10,0,-4000)</f>
        <v>10841.839007955869</v>
      </c>
      <c r="J72" s="98"/>
      <c r="K72" s="98"/>
      <c r="L72" s="99"/>
      <c r="O72" s="113"/>
    </row>
    <row r="73" spans="2:15" x14ac:dyDescent="0.25">
      <c r="C73" s="98" t="s">
        <v>96</v>
      </c>
      <c r="D73" s="98"/>
      <c r="E73" s="99">
        <f>7500-E72</f>
        <v>-3341.8390079558685</v>
      </c>
      <c r="J73" s="98"/>
      <c r="K73" s="98"/>
      <c r="L73" s="99"/>
      <c r="O73" s="113"/>
    </row>
    <row r="74" spans="2:15" x14ac:dyDescent="0.25">
      <c r="C74" s="98" t="s">
        <v>285</v>
      </c>
      <c r="D74" s="98"/>
      <c r="E74" s="99">
        <f>FV(0.08,5,0,-E73)</f>
        <v>-4910.2578825350174</v>
      </c>
      <c r="J74" s="98"/>
      <c r="K74" s="98"/>
      <c r="L74" s="99"/>
      <c r="O74" s="113"/>
    </row>
    <row r="75" spans="2:15" x14ac:dyDescent="0.25">
      <c r="C75" s="98" t="s">
        <v>97</v>
      </c>
      <c r="D75" s="98"/>
      <c r="E75" s="99">
        <f>PMT(0.08,4,-E74)</f>
        <v>-1482.5090099717604</v>
      </c>
      <c r="J75" s="98"/>
      <c r="K75" s="98"/>
      <c r="L75" s="99"/>
      <c r="O75" s="113"/>
    </row>
    <row r="76" spans="2:15" x14ac:dyDescent="0.25">
      <c r="J76" s="98"/>
      <c r="K76" s="98"/>
      <c r="L76" s="99"/>
    </row>
    <row r="77" spans="2:15" x14ac:dyDescent="0.25">
      <c r="H77" s="98"/>
      <c r="J77" s="98"/>
      <c r="K77" s="98"/>
      <c r="L77" s="99"/>
    </row>
    <row r="78" spans="2:15" x14ac:dyDescent="0.25">
      <c r="F78" s="40"/>
      <c r="O78" s="100"/>
    </row>
    <row r="79" spans="2:15" x14ac:dyDescent="0.25">
      <c r="B79" s="55" t="s">
        <v>7</v>
      </c>
      <c r="C79" t="s">
        <v>20</v>
      </c>
    </row>
    <row r="80" spans="2:15" ht="17.25" x14ac:dyDescent="0.4">
      <c r="C80" t="s">
        <v>289</v>
      </c>
      <c r="I80" s="18" t="s">
        <v>3</v>
      </c>
      <c r="J80" s="18" t="s">
        <v>17</v>
      </c>
      <c r="K80" s="18" t="s">
        <v>18</v>
      </c>
      <c r="L80" s="18" t="s">
        <v>28</v>
      </c>
      <c r="M80" s="18" t="s">
        <v>19</v>
      </c>
      <c r="N80" s="18"/>
    </row>
    <row r="81" spans="2:13" x14ac:dyDescent="0.25">
      <c r="C81" t="s">
        <v>259</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4</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28</v>
      </c>
      <c r="E85" s="20">
        <f>VLOOKUP(E83,I81:M90,4)</f>
        <v>400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5" t="s">
        <v>128</v>
      </c>
      <c r="C93" s="113" t="s">
        <v>208</v>
      </c>
      <c r="D93" s="113"/>
      <c r="E93" s="113"/>
      <c r="F93" s="113"/>
      <c r="G93" s="113"/>
      <c r="H93" s="113"/>
      <c r="I93" s="113"/>
    </row>
    <row r="94" spans="2:13" x14ac:dyDescent="0.25">
      <c r="B94" s="113"/>
      <c r="C94" s="113" t="s">
        <v>291</v>
      </c>
      <c r="D94" s="113"/>
      <c r="E94" s="113"/>
      <c r="F94" s="113"/>
      <c r="G94" s="113"/>
      <c r="H94" s="113"/>
      <c r="I94" s="113"/>
    </row>
    <row r="95" spans="2:13" ht="15.75" thickBot="1" x14ac:dyDescent="0.3">
      <c r="B95" s="113"/>
      <c r="C95" s="113"/>
      <c r="D95" s="113"/>
      <c r="E95" s="113"/>
      <c r="F95" s="113"/>
      <c r="G95" s="113"/>
      <c r="H95" s="113"/>
      <c r="I95" s="113"/>
    </row>
    <row r="96" spans="2:13" ht="15.75" thickBot="1" x14ac:dyDescent="0.3">
      <c r="B96" s="113"/>
      <c r="C96" s="137" t="s">
        <v>3</v>
      </c>
      <c r="D96" s="138" t="s">
        <v>17</v>
      </c>
      <c r="E96" s="113"/>
      <c r="F96" s="139"/>
      <c r="G96" s="113"/>
      <c r="H96" s="113"/>
      <c r="I96" s="113"/>
    </row>
    <row r="97" spans="2:9" x14ac:dyDescent="0.25">
      <c r="B97" s="113"/>
      <c r="C97" s="129">
        <v>2006</v>
      </c>
      <c r="D97" s="130">
        <v>1075050</v>
      </c>
      <c r="E97" s="113"/>
      <c r="F97" s="113"/>
      <c r="G97" s="113"/>
      <c r="H97" s="113"/>
      <c r="I97" s="113"/>
    </row>
    <row r="98" spans="2:9" x14ac:dyDescent="0.25">
      <c r="B98" s="113"/>
      <c r="C98" s="80">
        <v>2007</v>
      </c>
      <c r="D98" s="84">
        <v>948500</v>
      </c>
      <c r="E98" s="113"/>
      <c r="F98" s="113"/>
      <c r="G98" s="113"/>
      <c r="H98" s="113"/>
      <c r="I98" s="113"/>
    </row>
    <row r="99" spans="2:9" x14ac:dyDescent="0.25">
      <c r="B99" s="113"/>
      <c r="C99" s="80">
        <v>2008</v>
      </c>
      <c r="D99" s="84">
        <v>796845</v>
      </c>
      <c r="E99" s="113"/>
      <c r="F99" s="113"/>
      <c r="G99" s="113"/>
      <c r="H99" s="113"/>
      <c r="I99" s="113"/>
    </row>
    <row r="100" spans="2:9" x14ac:dyDescent="0.25">
      <c r="B100" s="113"/>
      <c r="C100" s="80">
        <v>2009</v>
      </c>
      <c r="D100" s="84">
        <v>856210</v>
      </c>
      <c r="E100" s="113"/>
      <c r="F100" s="113"/>
      <c r="G100" s="113"/>
      <c r="H100" s="113"/>
      <c r="I100" s="113"/>
    </row>
    <row r="101" spans="2:9" x14ac:dyDescent="0.25">
      <c r="B101" s="113"/>
      <c r="C101" s="80">
        <v>2010</v>
      </c>
      <c r="D101" s="84">
        <v>1055600</v>
      </c>
      <c r="E101" s="113"/>
      <c r="F101" s="113"/>
      <c r="G101" s="113"/>
      <c r="H101" s="113"/>
      <c r="I101" s="113"/>
    </row>
    <row r="102" spans="2:9" x14ac:dyDescent="0.25">
      <c r="B102" s="113"/>
      <c r="C102" s="80">
        <v>2011</v>
      </c>
      <c r="D102" s="84">
        <v>1321800</v>
      </c>
      <c r="E102" s="113"/>
      <c r="F102" s="113"/>
      <c r="G102" s="113"/>
      <c r="H102" s="113"/>
      <c r="I102" s="113"/>
    </row>
    <row r="103" spans="2:9" x14ac:dyDescent="0.25">
      <c r="B103" s="113"/>
      <c r="C103" s="140">
        <v>2012</v>
      </c>
      <c r="D103" s="141">
        <v>1216500</v>
      </c>
      <c r="E103" s="113"/>
      <c r="F103" s="113"/>
      <c r="G103" s="113"/>
      <c r="H103" s="113"/>
      <c r="I103" s="113"/>
    </row>
    <row r="104" spans="2:9" x14ac:dyDescent="0.25">
      <c r="B104" s="113"/>
      <c r="C104" s="140">
        <v>2013</v>
      </c>
      <c r="D104" s="141">
        <v>1429500</v>
      </c>
      <c r="E104" s="113"/>
      <c r="F104" s="113"/>
      <c r="G104" s="113"/>
      <c r="H104" s="113"/>
      <c r="I104" s="113"/>
    </row>
    <row r="105" spans="2:9" x14ac:dyDescent="0.25">
      <c r="B105" s="113"/>
      <c r="C105" s="140">
        <v>2014</v>
      </c>
      <c r="D105" s="141">
        <v>1562540</v>
      </c>
      <c r="E105" s="113"/>
      <c r="F105" s="113"/>
      <c r="G105" s="113"/>
      <c r="H105" s="113"/>
      <c r="I105" s="113"/>
    </row>
    <row r="106" spans="2:9" s="113" customFormat="1" x14ac:dyDescent="0.25">
      <c r="C106" s="140">
        <v>2015</v>
      </c>
      <c r="D106" s="141">
        <v>1386540</v>
      </c>
    </row>
    <row r="107" spans="2:9" ht="15.75" thickBot="1" x14ac:dyDescent="0.3">
      <c r="B107" s="113"/>
      <c r="C107" s="81">
        <v>2016</v>
      </c>
      <c r="D107" s="82">
        <f>TREND(D97:D106,C97:C106,C107)</f>
        <v>1551976.3333333433</v>
      </c>
      <c r="E107" s="113"/>
      <c r="F107" s="113"/>
      <c r="G107" s="113"/>
      <c r="H107" s="113"/>
      <c r="I107" s="113"/>
    </row>
    <row r="108" spans="2:9" x14ac:dyDescent="0.25">
      <c r="B108" s="113"/>
      <c r="C108" s="113"/>
      <c r="D108" s="113"/>
      <c r="E108" s="113"/>
      <c r="F108" s="113"/>
      <c r="G108" s="113"/>
      <c r="H108" s="113"/>
      <c r="I108" s="113"/>
    </row>
    <row r="109" spans="2:9" x14ac:dyDescent="0.25">
      <c r="B109" s="95" t="s">
        <v>129</v>
      </c>
      <c r="C109" s="113" t="s">
        <v>292</v>
      </c>
      <c r="D109" s="113"/>
      <c r="E109" s="113"/>
      <c r="F109" s="113"/>
      <c r="G109" s="113"/>
      <c r="H109" s="113"/>
      <c r="I109" s="113"/>
    </row>
    <row r="110" spans="2:9" x14ac:dyDescent="0.25">
      <c r="B110" s="113"/>
      <c r="C110" s="113" t="s">
        <v>293</v>
      </c>
      <c r="D110" s="113"/>
      <c r="E110" s="113"/>
      <c r="F110" s="113"/>
      <c r="G110" s="113"/>
      <c r="H110" s="113"/>
      <c r="I110" s="113"/>
    </row>
    <row r="111" spans="2:9" x14ac:dyDescent="0.25">
      <c r="B111" s="113"/>
      <c r="C111" s="113" t="s">
        <v>290</v>
      </c>
      <c r="D111" s="113"/>
      <c r="E111" s="113"/>
      <c r="F111" s="113"/>
      <c r="G111" s="113"/>
      <c r="H111" s="113"/>
      <c r="I111" s="113"/>
    </row>
    <row r="112" spans="2:9" x14ac:dyDescent="0.25">
      <c r="B112" s="113"/>
      <c r="C112" s="113" t="s">
        <v>294</v>
      </c>
      <c r="D112" s="113"/>
      <c r="E112" s="113"/>
      <c r="F112" s="113"/>
      <c r="G112" s="113"/>
      <c r="H112" s="113"/>
      <c r="I112" s="113"/>
    </row>
    <row r="113" spans="2:9" x14ac:dyDescent="0.25">
      <c r="B113" s="113"/>
      <c r="C113" s="113"/>
      <c r="D113" s="113"/>
      <c r="E113" s="113"/>
      <c r="F113" s="113"/>
      <c r="G113" s="113"/>
      <c r="H113" s="113"/>
      <c r="I113" s="113"/>
    </row>
    <row r="114" spans="2:9" x14ac:dyDescent="0.25">
      <c r="B114" s="113"/>
      <c r="C114" s="113"/>
      <c r="D114" s="113"/>
      <c r="E114" s="113"/>
      <c r="F114" s="113"/>
      <c r="G114" s="113"/>
      <c r="H114" s="113"/>
      <c r="I114" s="113"/>
    </row>
    <row r="115" spans="2:9" x14ac:dyDescent="0.25">
      <c r="B115" s="113"/>
      <c r="C115" s="113"/>
      <c r="D115" s="113"/>
      <c r="E115" s="113"/>
      <c r="F115" s="113"/>
      <c r="G115" s="113"/>
      <c r="H115" s="113"/>
      <c r="I115" s="113"/>
    </row>
    <row r="116" spans="2:9" x14ac:dyDescent="0.25">
      <c r="B116" s="113"/>
      <c r="C116" s="113"/>
      <c r="D116" s="113"/>
      <c r="E116" s="113"/>
      <c r="F116" s="113"/>
      <c r="G116" s="113"/>
      <c r="H116" s="113"/>
      <c r="I116" s="113"/>
    </row>
    <row r="117" spans="2:9" x14ac:dyDescent="0.25">
      <c r="B117" s="113"/>
      <c r="C117" s="113"/>
      <c r="D117" s="113"/>
      <c r="E117" s="113"/>
      <c r="F117" s="113"/>
      <c r="G117" s="113"/>
      <c r="H117" s="113"/>
      <c r="I117" s="113"/>
    </row>
    <row r="118" spans="2:9" x14ac:dyDescent="0.25">
      <c r="B118" s="113"/>
      <c r="C118" s="113"/>
      <c r="D118" s="113"/>
      <c r="E118" s="113"/>
      <c r="F118" s="113"/>
      <c r="G118" s="113"/>
      <c r="H118" s="113"/>
      <c r="I118" s="113"/>
    </row>
    <row r="119" spans="2:9" x14ac:dyDescent="0.25">
      <c r="B119" s="113"/>
      <c r="C119" s="113"/>
      <c r="D119" s="113"/>
      <c r="E119" s="113"/>
      <c r="F119" s="113"/>
      <c r="G119" s="113"/>
      <c r="H119" s="113"/>
      <c r="I119" s="113"/>
    </row>
    <row r="120" spans="2:9" x14ac:dyDescent="0.25">
      <c r="B120" s="113"/>
      <c r="C120" s="113"/>
      <c r="D120" s="113"/>
      <c r="E120" s="113"/>
      <c r="F120" s="113"/>
      <c r="G120" s="113"/>
      <c r="H120" s="113"/>
      <c r="I120" s="113"/>
    </row>
    <row r="121" spans="2:9" x14ac:dyDescent="0.25">
      <c r="B121" s="113"/>
      <c r="C121" s="113"/>
      <c r="D121" s="113"/>
      <c r="E121" s="113"/>
      <c r="F121" s="113"/>
      <c r="G121" s="113"/>
      <c r="H121" s="113"/>
      <c r="I121" s="113"/>
    </row>
    <row r="122" spans="2:9" x14ac:dyDescent="0.25">
      <c r="B122" s="113"/>
      <c r="C122" s="113"/>
      <c r="D122" s="113"/>
      <c r="E122" s="113"/>
      <c r="F122" s="113"/>
      <c r="G122" s="113"/>
      <c r="H122" s="113"/>
      <c r="I122" s="113"/>
    </row>
    <row r="123" spans="2:9" x14ac:dyDescent="0.25">
      <c r="B123" s="113"/>
      <c r="C123" s="113"/>
      <c r="D123" s="113"/>
      <c r="E123" s="113"/>
      <c r="F123" s="113"/>
      <c r="G123" s="113"/>
      <c r="H123" s="113"/>
      <c r="I123" s="113"/>
    </row>
    <row r="124" spans="2:9" x14ac:dyDescent="0.25">
      <c r="B124" s="113"/>
      <c r="C124" s="113"/>
      <c r="D124" s="113"/>
      <c r="E124" s="113"/>
      <c r="F124" s="113"/>
      <c r="G124" s="113"/>
      <c r="H124" s="113"/>
      <c r="I124" s="113"/>
    </row>
    <row r="125" spans="2:9" x14ac:dyDescent="0.25">
      <c r="B125" s="113"/>
      <c r="C125" s="113"/>
      <c r="D125" s="113"/>
      <c r="E125" s="113"/>
      <c r="F125" s="113"/>
      <c r="G125" s="113"/>
      <c r="H125" s="113"/>
      <c r="I125" s="113"/>
    </row>
    <row r="126" spans="2:9" x14ac:dyDescent="0.25">
      <c r="B126" s="113"/>
      <c r="C126" s="113"/>
      <c r="D126" s="113"/>
      <c r="E126" s="113"/>
      <c r="F126" s="113"/>
      <c r="G126" s="113"/>
      <c r="H126" s="113"/>
      <c r="I126" s="113"/>
    </row>
    <row r="127" spans="2:9" x14ac:dyDescent="0.25">
      <c r="B127" s="113"/>
      <c r="C127" s="113"/>
      <c r="D127" s="113"/>
      <c r="E127" s="113"/>
      <c r="F127" s="113"/>
      <c r="G127" s="113"/>
      <c r="H127" s="113"/>
      <c r="I127" s="113"/>
    </row>
    <row r="128" spans="2:9" x14ac:dyDescent="0.25">
      <c r="B128" s="113"/>
      <c r="C128" s="113"/>
      <c r="D128" s="113"/>
      <c r="E128" s="113"/>
      <c r="F128" s="113"/>
      <c r="G128" s="113"/>
      <c r="H128" s="113"/>
      <c r="I128" s="113"/>
    </row>
    <row r="129" spans="2:9" x14ac:dyDescent="0.25">
      <c r="B129" s="113"/>
      <c r="C129" s="113"/>
      <c r="D129" s="113"/>
      <c r="E129" s="113"/>
      <c r="F129" s="113"/>
      <c r="G129" s="113"/>
      <c r="H129" s="113"/>
      <c r="I129" s="113"/>
    </row>
    <row r="130" spans="2:9" x14ac:dyDescent="0.25">
      <c r="B130" s="113"/>
      <c r="C130" s="113"/>
      <c r="D130" s="113"/>
      <c r="E130" s="113"/>
      <c r="F130" s="113"/>
      <c r="G130" s="113"/>
      <c r="H130" s="113"/>
      <c r="I130" s="113"/>
    </row>
    <row r="131" spans="2:9" x14ac:dyDescent="0.25">
      <c r="B131" s="113"/>
      <c r="C131" s="113"/>
      <c r="D131" s="113"/>
      <c r="E131" s="113"/>
      <c r="F131" s="113"/>
      <c r="G131" s="113"/>
      <c r="H131" s="113"/>
      <c r="I131" s="113"/>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workbookViewId="0">
      <selection activeCell="I12" sqref="I12"/>
    </sheetView>
  </sheetViews>
  <sheetFormatPr defaultColWidth="8.7109375" defaultRowHeight="15" x14ac:dyDescent="0.25"/>
  <cols>
    <col min="1" max="1" width="6.28515625" style="22" customWidth="1"/>
    <col min="2" max="2" width="4" style="21" customWidth="1"/>
    <col min="3" max="3" width="40.85546875" style="21" customWidth="1"/>
    <col min="4" max="6" width="16.7109375" style="22" customWidth="1"/>
    <col min="7" max="7" width="4.140625" style="22" customWidth="1"/>
    <col min="8" max="9" width="8.7109375" style="22"/>
    <col min="10" max="10" width="10.85546875" style="22" customWidth="1"/>
    <col min="11" max="16384" width="8.7109375" style="22"/>
  </cols>
  <sheetData>
    <row r="24" spans="3:6" ht="15.75" thickBot="1" x14ac:dyDescent="0.3"/>
    <row r="25" spans="3:6" ht="19.5" customHeight="1" thickBot="1" x14ac:dyDescent="0.3">
      <c r="C25" s="148" t="s">
        <v>58</v>
      </c>
      <c r="D25" s="149"/>
      <c r="E25" s="149"/>
      <c r="F25" s="149"/>
    </row>
    <row r="26" spans="3:6" ht="16.149999999999999" customHeight="1" x14ac:dyDescent="0.25">
      <c r="C26" s="35" t="s">
        <v>295</v>
      </c>
      <c r="F26" s="103">
        <v>-0.05</v>
      </c>
    </row>
    <row r="27" spans="3:6" x14ac:dyDescent="0.25">
      <c r="C27" s="35" t="s">
        <v>57</v>
      </c>
      <c r="F27" s="103">
        <v>4.4999999999999998E-2</v>
      </c>
    </row>
    <row r="28" spans="3:6" x14ac:dyDescent="0.25">
      <c r="C28" s="35" t="s">
        <v>56</v>
      </c>
      <c r="F28" s="103">
        <v>7.1999999999999995E-2</v>
      </c>
    </row>
    <row r="29" spans="3:6" x14ac:dyDescent="0.25">
      <c r="C29" s="35" t="s">
        <v>296</v>
      </c>
      <c r="F29" s="102">
        <v>0.35</v>
      </c>
    </row>
    <row r="30" spans="3:6" x14ac:dyDescent="0.25">
      <c r="C30" s="35" t="s">
        <v>297</v>
      </c>
      <c r="F30" s="101">
        <v>45000</v>
      </c>
    </row>
    <row r="31" spans="3:6" x14ac:dyDescent="0.25">
      <c r="C31" s="35" t="s">
        <v>298</v>
      </c>
      <c r="F31" s="101">
        <v>250000</v>
      </c>
    </row>
    <row r="32" spans="3:6" x14ac:dyDescent="0.25">
      <c r="C32" s="35" t="s">
        <v>299</v>
      </c>
      <c r="F32" s="101">
        <v>60000</v>
      </c>
    </row>
    <row r="33" spans="3:12" ht="7.5" customHeight="1" thickBot="1" x14ac:dyDescent="0.3">
      <c r="C33" s="36"/>
      <c r="D33" s="25"/>
      <c r="E33" s="25"/>
      <c r="F33" s="37"/>
    </row>
    <row r="34" spans="3:12" x14ac:dyDescent="0.25">
      <c r="C34" s="35"/>
      <c r="F34" s="101"/>
    </row>
    <row r="35" spans="3:12" ht="21.75" thickBot="1" x14ac:dyDescent="0.4">
      <c r="C35" s="150" t="s">
        <v>22</v>
      </c>
      <c r="D35" s="150"/>
      <c r="E35" s="150"/>
      <c r="F35" s="150"/>
    </row>
    <row r="36" spans="3:12" ht="19.5" customHeight="1" thickBot="1" x14ac:dyDescent="0.3">
      <c r="C36" s="132"/>
      <c r="D36" s="110">
        <v>2013</v>
      </c>
      <c r="E36" s="110">
        <v>2014</v>
      </c>
      <c r="F36" s="110">
        <v>2015</v>
      </c>
    </row>
    <row r="37" spans="3:12" ht="17.25" customHeight="1" x14ac:dyDescent="0.25">
      <c r="C37" s="31" t="s">
        <v>17</v>
      </c>
      <c r="D37" s="22">
        <v>3500000</v>
      </c>
      <c r="E37" s="22">
        <v>3685000</v>
      </c>
      <c r="F37" s="42">
        <f>E37*(1+F26)</f>
        <v>3500750</v>
      </c>
    </row>
    <row r="38" spans="3:12" ht="17.25" x14ac:dyDescent="0.4">
      <c r="C38" s="34" t="s">
        <v>23</v>
      </c>
      <c r="D38" s="83">
        <v>2450000</v>
      </c>
      <c r="E38" s="83">
        <v>2585000</v>
      </c>
      <c r="F38" s="83">
        <f>$F$37*J38*1.05</f>
        <v>2575794.375</v>
      </c>
      <c r="H38" s="47">
        <f>D38/D$37</f>
        <v>0.7</v>
      </c>
      <c r="I38" s="47">
        <f>E38/E$37</f>
        <v>0.70149253731343286</v>
      </c>
      <c r="J38" s="49">
        <f>AVERAGE(H38:I38)</f>
        <v>0.70074626865671641</v>
      </c>
      <c r="L38" s="113"/>
    </row>
    <row r="39" spans="3:12" x14ac:dyDescent="0.25">
      <c r="C39" s="32" t="s">
        <v>24</v>
      </c>
      <c r="D39" s="22">
        <f>D37-D38</f>
        <v>1050000</v>
      </c>
      <c r="E39" s="22">
        <f>E37-E38</f>
        <v>1100000</v>
      </c>
      <c r="F39" s="22">
        <f>F37-F38</f>
        <v>924955.625</v>
      </c>
    </row>
    <row r="40" spans="3:12" x14ac:dyDescent="0.25">
      <c r="C40" s="31" t="s">
        <v>25</v>
      </c>
      <c r="D40" s="22">
        <v>750000</v>
      </c>
      <c r="E40" s="22">
        <v>812000</v>
      </c>
      <c r="F40" s="22">
        <f>$F$37*J40</f>
        <v>760780.35714285716</v>
      </c>
      <c r="G40" s="24"/>
      <c r="H40" s="47">
        <f>D40/D$37</f>
        <v>0.21428571428571427</v>
      </c>
      <c r="I40" s="47">
        <f>E40/E$37</f>
        <v>0.2203527815468114</v>
      </c>
      <c r="J40" s="49">
        <f>AVERAGE(H40:I40)</f>
        <v>0.21731924791626284</v>
      </c>
    </row>
    <row r="41" spans="3:12" x14ac:dyDescent="0.25">
      <c r="C41" s="31" t="s">
        <v>26</v>
      </c>
      <c r="D41" s="22">
        <v>140000</v>
      </c>
      <c r="E41" s="22">
        <v>140000</v>
      </c>
      <c r="F41" s="142">
        <v>140000</v>
      </c>
    </row>
    <row r="42" spans="3:12" ht="17.25" x14ac:dyDescent="0.4">
      <c r="C42" s="34" t="s">
        <v>27</v>
      </c>
      <c r="D42" s="83">
        <v>40000</v>
      </c>
      <c r="E42" s="83">
        <v>42500</v>
      </c>
      <c r="F42" s="83">
        <f>E42+F32</f>
        <v>102500</v>
      </c>
    </row>
    <row r="43" spans="3:12" x14ac:dyDescent="0.25">
      <c r="C43" s="32" t="s">
        <v>28</v>
      </c>
      <c r="D43" s="22">
        <f>D39-D40-D41-D42</f>
        <v>120000</v>
      </c>
      <c r="E43" s="22">
        <f>E39-E40-E41-E42</f>
        <v>105500</v>
      </c>
      <c r="F43" s="22">
        <f>F39-F40-F41-F42</f>
        <v>-78324.732142857159</v>
      </c>
    </row>
    <row r="44" spans="3:12" ht="17.25" x14ac:dyDescent="0.4">
      <c r="C44" s="34" t="s">
        <v>29</v>
      </c>
      <c r="D44" s="83">
        <v>25000</v>
      </c>
      <c r="E44" s="83">
        <v>26250</v>
      </c>
      <c r="F44" s="83">
        <f>F27*E61+F28*E64</f>
        <v>12262.5</v>
      </c>
    </row>
    <row r="45" spans="3:12" x14ac:dyDescent="0.25">
      <c r="C45" s="32" t="s">
        <v>30</v>
      </c>
      <c r="D45" s="22">
        <f>D43-D44</f>
        <v>95000</v>
      </c>
      <c r="E45" s="22">
        <f>E43-E44</f>
        <v>79250</v>
      </c>
      <c r="F45" s="22">
        <f>F43-F44</f>
        <v>-90587.232142857159</v>
      </c>
    </row>
    <row r="46" spans="3:12" ht="17.25" x14ac:dyDescent="0.4">
      <c r="C46" s="34" t="s">
        <v>31</v>
      </c>
      <c r="D46" s="83">
        <f>D45*0.35</f>
        <v>33250</v>
      </c>
      <c r="E46" s="83">
        <f>E45*0.35</f>
        <v>27737.5</v>
      </c>
      <c r="F46" s="83">
        <f>F45*F29</f>
        <v>-31705.531250000004</v>
      </c>
    </row>
    <row r="47" spans="3:12" ht="15.75" thickBot="1" x14ac:dyDescent="0.3">
      <c r="C47" s="33" t="s">
        <v>19</v>
      </c>
      <c r="D47" s="25">
        <f>D45-D46</f>
        <v>61750</v>
      </c>
      <c r="E47" s="25">
        <f>E45-E46</f>
        <v>51512.5</v>
      </c>
      <c r="F47" s="25">
        <f>F45-F46</f>
        <v>-58881.700892857159</v>
      </c>
    </row>
    <row r="48" spans="3:12" ht="7.5" customHeight="1" x14ac:dyDescent="0.25">
      <c r="C48" s="105"/>
      <c r="D48" s="113"/>
      <c r="E48" s="113"/>
      <c r="F48" s="113"/>
    </row>
    <row r="49" spans="2:10" ht="21.75" thickBot="1" x14ac:dyDescent="0.4">
      <c r="B49" s="150" t="s">
        <v>32</v>
      </c>
      <c r="C49" s="150"/>
      <c r="D49" s="150"/>
      <c r="E49" s="150"/>
      <c r="F49" s="150"/>
    </row>
    <row r="50" spans="2:10" ht="15.75" thickBot="1" x14ac:dyDescent="0.3">
      <c r="B50" s="26" t="s">
        <v>33</v>
      </c>
      <c r="C50" s="26"/>
      <c r="D50" s="110">
        <v>2013</v>
      </c>
      <c r="E50" s="110">
        <v>2014</v>
      </c>
      <c r="F50" s="110">
        <v>2015</v>
      </c>
    </row>
    <row r="51" spans="2:10" x14ac:dyDescent="0.25">
      <c r="B51" s="27" t="s">
        <v>34</v>
      </c>
      <c r="D51" s="22">
        <v>96500</v>
      </c>
      <c r="E51" s="22">
        <v>106513</v>
      </c>
      <c r="F51" s="142">
        <v>105000</v>
      </c>
    </row>
    <row r="52" spans="2:10" x14ac:dyDescent="0.25">
      <c r="B52" s="27" t="s">
        <v>35</v>
      </c>
      <c r="D52" s="22">
        <v>125000</v>
      </c>
      <c r="E52" s="22">
        <v>120000</v>
      </c>
      <c r="F52" s="22">
        <f>$F$37*J52</f>
        <v>119513.39285714286</v>
      </c>
      <c r="H52" s="47">
        <f>D52/D$37</f>
        <v>3.5714285714285712E-2</v>
      </c>
      <c r="I52" s="47">
        <f>E52/E$37</f>
        <v>3.2564450474898234E-2</v>
      </c>
      <c r="J52" s="49">
        <f>AVERAGE(H52:I52)</f>
        <v>3.4139368094591976E-2</v>
      </c>
    </row>
    <row r="53" spans="2:10" ht="17.25" x14ac:dyDescent="0.4">
      <c r="B53" s="27" t="s">
        <v>36</v>
      </c>
      <c r="D53" s="83">
        <v>395000</v>
      </c>
      <c r="E53" s="83">
        <v>420000</v>
      </c>
      <c r="F53" s="83">
        <f>$F$37*J53</f>
        <v>397042.32142857142</v>
      </c>
      <c r="H53" s="47">
        <f>D53/D$37</f>
        <v>0.11285714285714285</v>
      </c>
      <c r="I53" s="47">
        <f>E53/E$37</f>
        <v>0.11397557666214382</v>
      </c>
      <c r="J53" s="49">
        <f>AVERAGE(H53:I53)</f>
        <v>0.11341635975964334</v>
      </c>
    </row>
    <row r="54" spans="2:10" x14ac:dyDescent="0.25">
      <c r="B54" s="28" t="s">
        <v>37</v>
      </c>
      <c r="D54" s="22">
        <f>D51+D52+D53</f>
        <v>616500</v>
      </c>
      <c r="E54" s="22">
        <f>E51+E52+E53</f>
        <v>646513</v>
      </c>
      <c r="F54" s="22">
        <f>SUM(F51:F53)</f>
        <v>621555.71428571432</v>
      </c>
    </row>
    <row r="55" spans="2:10" x14ac:dyDescent="0.25">
      <c r="B55" s="27" t="s">
        <v>38</v>
      </c>
      <c r="D55" s="22">
        <v>345000</v>
      </c>
      <c r="E55" s="22">
        <v>350000</v>
      </c>
      <c r="F55" s="22">
        <f>E55+F31</f>
        <v>600000</v>
      </c>
    </row>
    <row r="56" spans="2:10" ht="17.25" x14ac:dyDescent="0.4">
      <c r="B56" s="27" t="s">
        <v>39</v>
      </c>
      <c r="D56" s="83">
        <v>126000</v>
      </c>
      <c r="E56" s="83">
        <f>D56+E42</f>
        <v>168500</v>
      </c>
      <c r="F56" s="83">
        <f>E56+F42</f>
        <v>271000</v>
      </c>
    </row>
    <row r="57" spans="2:10" ht="17.25" x14ac:dyDescent="0.4">
      <c r="B57" s="28" t="s">
        <v>40</v>
      </c>
      <c r="D57" s="83">
        <f>D55-D56</f>
        <v>219000</v>
      </c>
      <c r="E57" s="83">
        <f>E55-E56</f>
        <v>181500</v>
      </c>
      <c r="F57" s="83">
        <f>F55-F56</f>
        <v>329000</v>
      </c>
    </row>
    <row r="58" spans="2:10" ht="15.75" thickBot="1" x14ac:dyDescent="0.3">
      <c r="B58" s="28" t="s">
        <v>41</v>
      </c>
      <c r="D58" s="22">
        <f>D54+D57</f>
        <v>835500</v>
      </c>
      <c r="E58" s="22">
        <f>E54+E57</f>
        <v>828013</v>
      </c>
      <c r="F58" s="22">
        <f>F54+F57</f>
        <v>950555.71428571432</v>
      </c>
    </row>
    <row r="59" spans="2:10" ht="16.149999999999999" customHeight="1" x14ac:dyDescent="0.25">
      <c r="B59" s="26" t="s">
        <v>42</v>
      </c>
      <c r="C59" s="26"/>
      <c r="D59" s="23"/>
      <c r="E59" s="23"/>
      <c r="F59" s="23"/>
    </row>
    <row r="60" spans="2:10" x14ac:dyDescent="0.25">
      <c r="B60" s="27" t="s">
        <v>43</v>
      </c>
      <c r="D60" s="22">
        <v>115000</v>
      </c>
      <c r="E60" s="22">
        <v>110000</v>
      </c>
      <c r="F60" s="22">
        <f>$F$37*J60</f>
        <v>109762.32142857142</v>
      </c>
      <c r="H60" s="47">
        <f>D60/D$37</f>
        <v>3.2857142857142856E-2</v>
      </c>
      <c r="I60" s="47">
        <f>E60/E$37</f>
        <v>2.9850746268656716E-2</v>
      </c>
      <c r="J60" s="49">
        <f>AVERAGE(H60:I60)</f>
        <v>3.1353944562899784E-2</v>
      </c>
    </row>
    <row r="61" spans="2:10" x14ac:dyDescent="0.25">
      <c r="B61" s="27" t="s">
        <v>44</v>
      </c>
      <c r="D61" s="22">
        <v>28500</v>
      </c>
      <c r="E61" s="22">
        <v>32500</v>
      </c>
      <c r="F61" s="142">
        <v>32500</v>
      </c>
    </row>
    <row r="62" spans="2:10" ht="17.25" x14ac:dyDescent="0.4">
      <c r="B62" s="27" t="s">
        <v>45</v>
      </c>
      <c r="D62" s="83">
        <v>118000</v>
      </c>
      <c r="E62" s="83">
        <v>85000</v>
      </c>
      <c r="F62" s="143">
        <v>80000</v>
      </c>
    </row>
    <row r="63" spans="2:10" x14ac:dyDescent="0.25">
      <c r="B63" s="28" t="s">
        <v>46</v>
      </c>
      <c r="D63" s="22">
        <f>D60+D61+D62</f>
        <v>261500</v>
      </c>
      <c r="E63" s="22">
        <f>E60+E61+E62</f>
        <v>227500</v>
      </c>
      <c r="F63" s="22">
        <f>SUM(F60:F62)</f>
        <v>222262.32142857142</v>
      </c>
    </row>
    <row r="64" spans="2:10" ht="17.25" x14ac:dyDescent="0.4">
      <c r="B64" s="27" t="s">
        <v>47</v>
      </c>
      <c r="D64" s="83">
        <v>150000</v>
      </c>
      <c r="E64" s="83">
        <v>150000</v>
      </c>
      <c r="F64" s="143">
        <v>150000</v>
      </c>
    </row>
    <row r="65" spans="2:6" x14ac:dyDescent="0.25">
      <c r="B65" s="28" t="s">
        <v>48</v>
      </c>
      <c r="D65" s="22">
        <f>D63+D64</f>
        <v>411500</v>
      </c>
      <c r="E65" s="22">
        <f>E63+E64</f>
        <v>377500</v>
      </c>
      <c r="F65" s="22">
        <f>F63+F64</f>
        <v>372262.32142857142</v>
      </c>
    </row>
    <row r="66" spans="2:6" x14ac:dyDescent="0.25">
      <c r="B66" s="27" t="s">
        <v>49</v>
      </c>
      <c r="D66" s="22">
        <v>245000</v>
      </c>
      <c r="E66" s="22">
        <v>245000</v>
      </c>
      <c r="F66" s="142">
        <v>245000</v>
      </c>
    </row>
    <row r="67" spans="2:6" ht="17.25" x14ac:dyDescent="0.4">
      <c r="B67" s="27" t="s">
        <v>50</v>
      </c>
      <c r="D67" s="83">
        <v>179000</v>
      </c>
      <c r="E67" s="83">
        <f>D67+E47-25000</f>
        <v>205512.5</v>
      </c>
      <c r="F67" s="83">
        <f>E67+F47-F30</f>
        <v>101630.79910714284</v>
      </c>
    </row>
    <row r="68" spans="2:6" ht="17.25" x14ac:dyDescent="0.4">
      <c r="B68" s="28" t="s">
        <v>51</v>
      </c>
      <c r="D68" s="83">
        <f>D66+D67</f>
        <v>424000</v>
      </c>
      <c r="E68" s="83">
        <f>E66+E67</f>
        <v>450512.5</v>
      </c>
      <c r="F68" s="83">
        <f>F66+F67</f>
        <v>346630.79910714284</v>
      </c>
    </row>
    <row r="69" spans="2:6" ht="15.75" thickBot="1" x14ac:dyDescent="0.3">
      <c r="B69" s="29" t="s">
        <v>52</v>
      </c>
      <c r="C69" s="30"/>
      <c r="D69" s="25">
        <f>D65+D68</f>
        <v>835500</v>
      </c>
      <c r="E69" s="25">
        <f>E65+E68</f>
        <v>828012.5</v>
      </c>
      <c r="F69" s="25">
        <f>F65+F68</f>
        <v>718893.12053571432</v>
      </c>
    </row>
    <row r="70" spans="2:6" ht="6" customHeight="1" x14ac:dyDescent="0.25"/>
    <row r="71" spans="2:6" ht="4.5" customHeight="1" thickBot="1" x14ac:dyDescent="0.3"/>
    <row r="72" spans="2:6" ht="15.75" thickBot="1" x14ac:dyDescent="0.3">
      <c r="C72" s="21" t="s">
        <v>300</v>
      </c>
      <c r="F72" s="20">
        <f>F69-F58</f>
        <v>-231662.59375</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workbookViewId="0"/>
  </sheetViews>
  <sheetFormatPr defaultColWidth="9.140625" defaultRowHeight="15" x14ac:dyDescent="0.25"/>
  <cols>
    <col min="1" max="1" width="3" style="113" customWidth="1"/>
    <col min="2" max="2" width="9.140625" style="113"/>
    <col min="3" max="3" width="3.7109375" style="113" customWidth="1"/>
    <col min="4" max="4" width="3.28515625" style="113" customWidth="1"/>
    <col min="5" max="5" width="72.28515625" style="113" customWidth="1"/>
    <col min="6" max="6" width="11.42578125" style="113" bestFit="1" customWidth="1"/>
    <col min="7" max="7" width="12.140625" style="113" bestFit="1" customWidth="1"/>
    <col min="8" max="11" width="9.140625" style="113"/>
    <col min="12" max="12" width="9.42578125" style="113" bestFit="1" customWidth="1"/>
    <col min="13" max="13" width="11.7109375" style="113" customWidth="1"/>
    <col min="14" max="14" width="10.7109375" style="113" customWidth="1"/>
    <col min="15" max="16384" width="9.140625" style="113"/>
  </cols>
  <sheetData>
    <row r="2" spans="2:13" ht="18.75" x14ac:dyDescent="0.25">
      <c r="B2" s="106"/>
      <c r="E2" s="107" t="s">
        <v>221</v>
      </c>
    </row>
    <row r="3" spans="2:13" x14ac:dyDescent="0.25">
      <c r="B3" s="106"/>
      <c r="E3" s="108" t="s">
        <v>125</v>
      </c>
    </row>
    <row r="4" spans="2:13" x14ac:dyDescent="0.25">
      <c r="B4" s="106"/>
    </row>
    <row r="5" spans="2:13" x14ac:dyDescent="0.25">
      <c r="B5" s="106"/>
      <c r="E5" s="105" t="s">
        <v>126</v>
      </c>
    </row>
    <row r="6" spans="2:13" x14ac:dyDescent="0.25">
      <c r="E6" s="105" t="s">
        <v>127</v>
      </c>
    </row>
    <row r="7" spans="2:13" ht="15.75" thickBot="1" x14ac:dyDescent="0.3"/>
    <row r="8" spans="2:13" ht="15.75" thickBot="1" x14ac:dyDescent="0.3">
      <c r="B8" s="111" t="b">
        <v>1</v>
      </c>
      <c r="C8" s="112" t="s">
        <v>0</v>
      </c>
      <c r="D8" s="112"/>
      <c r="E8" s="151" t="s">
        <v>209</v>
      </c>
      <c r="L8" s="100"/>
      <c r="M8" s="100"/>
    </row>
    <row r="9" spans="2:13" ht="30.6" customHeight="1" x14ac:dyDescent="0.25">
      <c r="E9" s="151"/>
      <c r="L9" s="100"/>
      <c r="M9" s="100"/>
    </row>
    <row r="10" spans="2:13" ht="15.75" thickBot="1" x14ac:dyDescent="0.3">
      <c r="L10" s="100"/>
      <c r="M10" s="100"/>
    </row>
    <row r="11" spans="2:13" ht="18" customHeight="1" thickBot="1" x14ac:dyDescent="0.3">
      <c r="B11" s="111" t="b">
        <v>0</v>
      </c>
      <c r="C11" s="112" t="s">
        <v>1</v>
      </c>
      <c r="D11" s="112"/>
      <c r="E11" s="151" t="s">
        <v>260</v>
      </c>
      <c r="L11" s="100"/>
      <c r="M11" s="100"/>
    </row>
    <row r="12" spans="2:13" ht="18" customHeight="1" x14ac:dyDescent="0.25">
      <c r="E12" s="151"/>
      <c r="L12" s="100"/>
      <c r="M12" s="100"/>
    </row>
    <row r="13" spans="2:13" ht="15.75" thickBot="1" x14ac:dyDescent="0.3">
      <c r="L13" s="100"/>
      <c r="M13" s="100"/>
    </row>
    <row r="14" spans="2:13" ht="18" customHeight="1" thickBot="1" x14ac:dyDescent="0.3">
      <c r="B14" s="111" t="b">
        <v>1</v>
      </c>
      <c r="C14" s="112" t="s">
        <v>6</v>
      </c>
      <c r="D14" s="112"/>
      <c r="E14" s="151" t="s">
        <v>261</v>
      </c>
      <c r="L14" s="100"/>
      <c r="M14" s="100"/>
    </row>
    <row r="15" spans="2:13" x14ac:dyDescent="0.25">
      <c r="E15" s="151"/>
      <c r="L15" s="100"/>
      <c r="M15" s="100"/>
    </row>
    <row r="16" spans="2:13" ht="15.75" thickBot="1" x14ac:dyDescent="0.3">
      <c r="L16" s="100"/>
      <c r="M16" s="100"/>
    </row>
    <row r="17" spans="2:13" ht="15" customHeight="1" thickBot="1" x14ac:dyDescent="0.3">
      <c r="B17" s="111" t="b">
        <v>0</v>
      </c>
      <c r="C17" s="112" t="s">
        <v>7</v>
      </c>
      <c r="D17" s="112"/>
      <c r="E17" s="151" t="s">
        <v>220</v>
      </c>
      <c r="L17" s="100"/>
      <c r="M17" s="100"/>
    </row>
    <row r="18" spans="2:13" ht="25.9" customHeight="1" thickBot="1" x14ac:dyDescent="0.3">
      <c r="E18" s="151"/>
      <c r="L18" s="100"/>
      <c r="M18" s="100"/>
    </row>
    <row r="19" spans="2:13" ht="16.5" customHeight="1" thickBot="1" x14ac:dyDescent="0.3">
      <c r="B19" s="111" t="b">
        <v>1</v>
      </c>
      <c r="C19" s="112" t="s">
        <v>128</v>
      </c>
      <c r="D19" s="112"/>
      <c r="E19" s="151" t="s">
        <v>262</v>
      </c>
    </row>
    <row r="20" spans="2:13" ht="16.5" customHeight="1" x14ac:dyDescent="0.25">
      <c r="E20" s="151"/>
    </row>
    <row r="21" spans="2:13" ht="15.75" thickBot="1" x14ac:dyDescent="0.3"/>
    <row r="22" spans="2:13" ht="15.75" thickBot="1" x14ac:dyDescent="0.3">
      <c r="B22" s="111" t="s">
        <v>247</v>
      </c>
      <c r="C22" s="112" t="s">
        <v>129</v>
      </c>
      <c r="D22" s="112"/>
      <c r="E22" s="151" t="s">
        <v>210</v>
      </c>
    </row>
    <row r="23" spans="2:13" x14ac:dyDescent="0.25">
      <c r="E23" s="151"/>
    </row>
    <row r="24" spans="2:13" x14ac:dyDescent="0.25">
      <c r="D24" s="113" t="s">
        <v>130</v>
      </c>
      <c r="E24" s="113" t="s">
        <v>211</v>
      </c>
    </row>
    <row r="25" spans="2:13" x14ac:dyDescent="0.25">
      <c r="D25" s="113" t="s">
        <v>131</v>
      </c>
      <c r="E25" s="113" t="s">
        <v>212</v>
      </c>
    </row>
    <row r="26" spans="2:13" x14ac:dyDescent="0.25">
      <c r="D26" s="113" t="s">
        <v>132</v>
      </c>
      <c r="E26" s="113" t="s">
        <v>213</v>
      </c>
    </row>
    <row r="27" spans="2:13" x14ac:dyDescent="0.25">
      <c r="D27" s="113" t="s">
        <v>133</v>
      </c>
      <c r="E27" s="113" t="s">
        <v>214</v>
      </c>
    </row>
    <row r="28" spans="2:13" x14ac:dyDescent="0.25">
      <c r="D28" s="113" t="s">
        <v>134</v>
      </c>
      <c r="E28" s="113" t="s">
        <v>135</v>
      </c>
    </row>
    <row r="29" spans="2:13" ht="15.75" thickBot="1" x14ac:dyDescent="0.3"/>
    <row r="30" spans="2:13" ht="18.75" customHeight="1" thickBot="1" x14ac:dyDescent="0.3">
      <c r="B30" s="111" t="b">
        <v>0</v>
      </c>
      <c r="C30" s="112" t="s">
        <v>136</v>
      </c>
      <c r="D30" s="112"/>
      <c r="E30" s="151" t="s">
        <v>263</v>
      </c>
    </row>
    <row r="31" spans="2:13" ht="36" customHeight="1" x14ac:dyDescent="0.25">
      <c r="E31" s="151"/>
    </row>
    <row r="32" spans="2:13" ht="15.75" thickBot="1" x14ac:dyDescent="0.3"/>
    <row r="33" spans="2:5" ht="15.75" thickBot="1" x14ac:dyDescent="0.3">
      <c r="B33" s="111" t="s">
        <v>272</v>
      </c>
      <c r="C33" s="112" t="s">
        <v>137</v>
      </c>
      <c r="D33" s="112"/>
      <c r="E33" s="151" t="s">
        <v>271</v>
      </c>
    </row>
    <row r="34" spans="2:5" ht="44.25" customHeight="1" x14ac:dyDescent="0.25">
      <c r="E34" s="151"/>
    </row>
    <row r="35" spans="2:5" x14ac:dyDescent="0.25">
      <c r="D35" s="113" t="s">
        <v>130</v>
      </c>
      <c r="E35" s="113" t="s">
        <v>215</v>
      </c>
    </row>
    <row r="36" spans="2:5" x14ac:dyDescent="0.25">
      <c r="D36" s="113" t="s">
        <v>131</v>
      </c>
      <c r="E36" s="113" t="s">
        <v>216</v>
      </c>
    </row>
    <row r="37" spans="2:5" x14ac:dyDescent="0.25">
      <c r="D37" s="113" t="s">
        <v>132</v>
      </c>
      <c r="E37" s="113" t="s">
        <v>217</v>
      </c>
    </row>
    <row r="38" spans="2:5" x14ac:dyDescent="0.25">
      <c r="D38" s="113" t="s">
        <v>133</v>
      </c>
      <c r="E38" s="113" t="s">
        <v>191</v>
      </c>
    </row>
    <row r="39" spans="2:5" x14ac:dyDescent="0.25">
      <c r="D39" s="113" t="s">
        <v>134</v>
      </c>
      <c r="E39" s="113" t="s">
        <v>218</v>
      </c>
    </row>
    <row r="40" spans="2:5" ht="15.75" thickBot="1" x14ac:dyDescent="0.3"/>
    <row r="41" spans="2:5" ht="20.25" customHeight="1" thickBot="1" x14ac:dyDescent="0.3">
      <c r="B41" s="111" t="b">
        <v>1</v>
      </c>
      <c r="C41" s="112" t="s">
        <v>138</v>
      </c>
      <c r="D41" s="112"/>
      <c r="E41" s="131" t="s">
        <v>270</v>
      </c>
    </row>
    <row r="42" spans="2:5" ht="41.25" customHeight="1" x14ac:dyDescent="0.25">
      <c r="E42" s="131" t="s">
        <v>273</v>
      </c>
    </row>
    <row r="43" spans="2:5" ht="15.75" thickBot="1" x14ac:dyDescent="0.3">
      <c r="E43" s="122"/>
    </row>
    <row r="44" spans="2:5" ht="15.75" thickBot="1" x14ac:dyDescent="0.3">
      <c r="B44" s="111" t="s">
        <v>269</v>
      </c>
      <c r="C44" s="112" t="s">
        <v>139</v>
      </c>
      <c r="E44" s="114" t="s">
        <v>244</v>
      </c>
    </row>
    <row r="45" spans="2:5" x14ac:dyDescent="0.25">
      <c r="E45" s="114"/>
    </row>
    <row r="46" spans="2:5" x14ac:dyDescent="0.25">
      <c r="D46" s="113" t="s">
        <v>130</v>
      </c>
      <c r="E46" s="114" t="s">
        <v>267</v>
      </c>
    </row>
    <row r="47" spans="2:5" x14ac:dyDescent="0.25">
      <c r="D47" s="113" t="s">
        <v>131</v>
      </c>
      <c r="E47" s="122" t="s">
        <v>266</v>
      </c>
    </row>
    <row r="48" spans="2:5" x14ac:dyDescent="0.25">
      <c r="D48" s="113" t="s">
        <v>132</v>
      </c>
      <c r="E48" s="122" t="s">
        <v>245</v>
      </c>
    </row>
    <row r="49" spans="2:5" x14ac:dyDescent="0.25">
      <c r="D49" s="113" t="s">
        <v>133</v>
      </c>
      <c r="E49" s="122" t="s">
        <v>268</v>
      </c>
    </row>
    <row r="50" spans="2:5" x14ac:dyDescent="0.25">
      <c r="D50" s="113" t="s">
        <v>134</v>
      </c>
      <c r="E50" s="122" t="s">
        <v>246</v>
      </c>
    </row>
    <row r="51" spans="2:5" ht="15.75" thickBot="1" x14ac:dyDescent="0.3">
      <c r="E51" s="114"/>
    </row>
    <row r="52" spans="2:5" ht="15.75" thickBot="1" x14ac:dyDescent="0.3">
      <c r="B52" s="111" t="s">
        <v>223</v>
      </c>
      <c r="C52" s="112" t="s">
        <v>250</v>
      </c>
      <c r="E52" s="114" t="s">
        <v>248</v>
      </c>
    </row>
    <row r="53" spans="2:5" x14ac:dyDescent="0.25">
      <c r="E53" s="114"/>
    </row>
    <row r="54" spans="2:5" x14ac:dyDescent="0.25">
      <c r="D54" s="113" t="s">
        <v>130</v>
      </c>
      <c r="E54" s="114" t="s">
        <v>267</v>
      </c>
    </row>
    <row r="55" spans="2:5" x14ac:dyDescent="0.25">
      <c r="D55" s="113" t="s">
        <v>131</v>
      </c>
      <c r="E55" s="114" t="s">
        <v>266</v>
      </c>
    </row>
    <row r="56" spans="2:5" x14ac:dyDescent="0.25">
      <c r="D56" s="113" t="s">
        <v>132</v>
      </c>
      <c r="E56" s="114" t="s">
        <v>245</v>
      </c>
    </row>
    <row r="57" spans="2:5" x14ac:dyDescent="0.25">
      <c r="D57" s="113" t="s">
        <v>133</v>
      </c>
      <c r="E57" s="114" t="s">
        <v>268</v>
      </c>
    </row>
    <row r="58" spans="2:5" x14ac:dyDescent="0.25">
      <c r="D58" s="113" t="s">
        <v>134</v>
      </c>
      <c r="E58" s="114" t="s">
        <v>249</v>
      </c>
    </row>
    <row r="59" spans="2:5" ht="15.75" thickBot="1" x14ac:dyDescent="0.3">
      <c r="E59" s="114"/>
    </row>
    <row r="60" spans="2:5" ht="15.75" thickBot="1" x14ac:dyDescent="0.3">
      <c r="B60" s="111" t="b">
        <v>1</v>
      </c>
      <c r="C60" s="112" t="s">
        <v>251</v>
      </c>
      <c r="D60" s="112"/>
      <c r="E60" s="151" t="s">
        <v>274</v>
      </c>
    </row>
    <row r="61" spans="2:5" ht="18" customHeight="1" x14ac:dyDescent="0.25">
      <c r="E61" s="151"/>
    </row>
    <row r="62" spans="2:5" ht="15.75" thickBot="1" x14ac:dyDescent="0.3">
      <c r="E62" s="114"/>
    </row>
    <row r="63" spans="2:5" ht="15.75" thickBot="1" x14ac:dyDescent="0.3">
      <c r="B63" s="111" t="b">
        <v>0</v>
      </c>
      <c r="C63" s="112" t="s">
        <v>252</v>
      </c>
      <c r="D63" s="112"/>
      <c r="E63" s="151" t="s">
        <v>265</v>
      </c>
    </row>
    <row r="64" spans="2:5" x14ac:dyDescent="0.25">
      <c r="E64" s="151"/>
    </row>
    <row r="65" spans="1:8" ht="15.75" thickBot="1" x14ac:dyDescent="0.3">
      <c r="E65" s="114"/>
    </row>
    <row r="66" spans="1:8" ht="15.75" thickBot="1" x14ac:dyDescent="0.3">
      <c r="B66" s="111" t="b">
        <v>1</v>
      </c>
      <c r="C66" s="112" t="s">
        <v>253</v>
      </c>
      <c r="D66" s="112"/>
      <c r="E66" s="151" t="s">
        <v>264</v>
      </c>
    </row>
    <row r="67" spans="1:8" x14ac:dyDescent="0.25">
      <c r="E67" s="151"/>
    </row>
    <row r="68" spans="1:8" ht="15.75" thickBot="1" x14ac:dyDescent="0.3">
      <c r="E68" s="114"/>
    </row>
    <row r="69" spans="1:8" ht="15.75" thickBot="1" x14ac:dyDescent="0.3">
      <c r="B69" s="111" t="b">
        <v>0</v>
      </c>
      <c r="C69" s="112" t="s">
        <v>254</v>
      </c>
      <c r="D69" s="112"/>
      <c r="E69" s="151" t="s">
        <v>255</v>
      </c>
    </row>
    <row r="70" spans="1:8" x14ac:dyDescent="0.25">
      <c r="E70" s="151"/>
    </row>
    <row r="71" spans="1:8" x14ac:dyDescent="0.25">
      <c r="E71" s="114"/>
    </row>
    <row r="72" spans="1:8" x14ac:dyDescent="0.25">
      <c r="E72" s="114"/>
    </row>
    <row r="73" spans="1:8" x14ac:dyDescent="0.25">
      <c r="E73" s="114"/>
    </row>
    <row r="74" spans="1:8" x14ac:dyDescent="0.25">
      <c r="E74" s="114"/>
    </row>
    <row r="75" spans="1:8" x14ac:dyDescent="0.25">
      <c r="E75" s="114"/>
    </row>
    <row r="76" spans="1:8" x14ac:dyDescent="0.25">
      <c r="E76" s="114"/>
    </row>
    <row r="77" spans="1:8" ht="15.75" thickBot="1" x14ac:dyDescent="0.3"/>
    <row r="78" spans="1:8" ht="15.75" thickBot="1" x14ac:dyDescent="0.3">
      <c r="A78" s="152" t="s">
        <v>140</v>
      </c>
      <c r="B78" s="153"/>
      <c r="C78" s="153"/>
      <c r="D78" s="153"/>
      <c r="E78" s="153"/>
      <c r="F78" s="153"/>
      <c r="G78" s="153"/>
      <c r="H78" s="154"/>
    </row>
    <row r="80" spans="1:8" x14ac:dyDescent="0.25">
      <c r="A80" s="113">
        <v>1</v>
      </c>
      <c r="B80" s="113" t="b">
        <f>B8</f>
        <v>1</v>
      </c>
    </row>
    <row r="81" spans="1:2" x14ac:dyDescent="0.25">
      <c r="A81" s="113">
        <v>2</v>
      </c>
      <c r="B81" s="113" t="b">
        <f>B11</f>
        <v>0</v>
      </c>
    </row>
    <row r="82" spans="1:2" x14ac:dyDescent="0.25">
      <c r="A82" s="113">
        <v>3</v>
      </c>
      <c r="B82" s="113" t="b">
        <f>B14</f>
        <v>1</v>
      </c>
    </row>
    <row r="83" spans="1:2" x14ac:dyDescent="0.25">
      <c r="A83" s="113">
        <v>4</v>
      </c>
      <c r="B83" s="113" t="b">
        <f>B17</f>
        <v>0</v>
      </c>
    </row>
    <row r="84" spans="1:2" x14ac:dyDescent="0.25">
      <c r="A84" s="113">
        <v>5</v>
      </c>
      <c r="B84" s="113" t="b">
        <f>B19</f>
        <v>1</v>
      </c>
    </row>
    <row r="85" spans="1:2" x14ac:dyDescent="0.25">
      <c r="A85" s="113">
        <v>6</v>
      </c>
      <c r="B85" s="113" t="str">
        <f>B22</f>
        <v>B</v>
      </c>
    </row>
    <row r="86" spans="1:2" x14ac:dyDescent="0.25">
      <c r="A86" s="113">
        <v>7</v>
      </c>
      <c r="B86" s="113" t="b">
        <f>B30</f>
        <v>0</v>
      </c>
    </row>
    <row r="87" spans="1:2" x14ac:dyDescent="0.25">
      <c r="A87" s="113">
        <v>8</v>
      </c>
      <c r="B87" s="113" t="str">
        <f>B33</f>
        <v>D</v>
      </c>
    </row>
    <row r="88" spans="1:2" x14ac:dyDescent="0.25">
      <c r="A88" s="113">
        <v>9</v>
      </c>
      <c r="B88" s="113" t="b">
        <f>B41</f>
        <v>1</v>
      </c>
    </row>
    <row r="89" spans="1:2" x14ac:dyDescent="0.25">
      <c r="A89" s="113">
        <v>10</v>
      </c>
      <c r="B89" s="113" t="str">
        <f>B44</f>
        <v>A</v>
      </c>
    </row>
    <row r="90" spans="1:2" x14ac:dyDescent="0.25">
      <c r="A90" s="113">
        <v>11</v>
      </c>
      <c r="B90" s="113" t="str">
        <f>B52</f>
        <v>C</v>
      </c>
    </row>
    <row r="91" spans="1:2" x14ac:dyDescent="0.25">
      <c r="A91" s="113">
        <v>12</v>
      </c>
      <c r="B91" s="113" t="b">
        <f>B60</f>
        <v>1</v>
      </c>
    </row>
    <row r="92" spans="1:2" x14ac:dyDescent="0.25">
      <c r="A92" s="113">
        <v>13</v>
      </c>
      <c r="B92" s="113" t="b">
        <f>B63</f>
        <v>0</v>
      </c>
    </row>
    <row r="93" spans="1:2" x14ac:dyDescent="0.25">
      <c r="A93" s="113">
        <v>14</v>
      </c>
      <c r="B93" s="113" t="b">
        <f>B66</f>
        <v>1</v>
      </c>
    </row>
    <row r="94" spans="1:2" x14ac:dyDescent="0.25">
      <c r="A94" s="113">
        <v>15</v>
      </c>
      <c r="B94" s="113" t="b">
        <f>B69</f>
        <v>0</v>
      </c>
    </row>
  </sheetData>
  <mergeCells count="13">
    <mergeCell ref="E22:E23"/>
    <mergeCell ref="E8:E9"/>
    <mergeCell ref="E11:E12"/>
    <mergeCell ref="E14:E15"/>
    <mergeCell ref="E17:E18"/>
    <mergeCell ref="E19:E20"/>
    <mergeCell ref="E69:E70"/>
    <mergeCell ref="A78:H78"/>
    <mergeCell ref="E30:E31"/>
    <mergeCell ref="E33:E34"/>
    <mergeCell ref="E60:E61"/>
    <mergeCell ref="E63:E64"/>
    <mergeCell ref="E66:E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P1 - 20 Pts</vt:lpstr>
      <vt:lpstr>P2 - 5 Pts</vt:lpstr>
      <vt:lpstr>P3 - 10 Pts</vt:lpstr>
      <vt:lpstr>P4 10 Pts</vt:lpstr>
      <vt:lpstr>P5 - 20 Pts</vt:lpstr>
      <vt:lpstr>P6 - 15 Pts</vt:lpstr>
      <vt:lpstr>MC-TF 20 Pts</vt:lpstr>
      <vt:lpstr>'P5 - 20 Pts'!OLE_LINK1</vt:lpstr>
      <vt:lpstr>Periods</vt:lpstr>
      <vt:lpstr>Rate</vt:lpstr>
      <vt:lpstr>Term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cp:lastPrinted>2015-10-20T18:19:48Z</cp:lastPrinted>
  <dcterms:created xsi:type="dcterms:W3CDTF">2010-01-13T00:10:02Z</dcterms:created>
  <dcterms:modified xsi:type="dcterms:W3CDTF">2015-10-28T15:15:42Z</dcterms:modified>
</cp:coreProperties>
</file>