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codeName="ThisWorkbook" defaultThemeVersion="124226"/>
  <mc:AlternateContent xmlns:mc="http://schemas.openxmlformats.org/markup-compatibility/2006">
    <mc:Choice Requires="x15">
      <x15ac:absPath xmlns:x15ac="http://schemas.microsoft.com/office/spreadsheetml/2010/11/ac" url="D:\Websites\FIN 361\Docs\Exams\Exam2\"/>
    </mc:Choice>
  </mc:AlternateContent>
  <xr:revisionPtr revIDLastSave="0" documentId="13_ncr:1_{1DC0FFC1-1FEE-4C2B-A665-C04B81CCA9C1}" xr6:coauthVersionLast="36" xr6:coauthVersionMax="45" xr10:uidLastSave="{00000000-0000-0000-0000-000000000000}"/>
  <bookViews>
    <workbookView xWindow="0" yWindow="0" windowWidth="22605" windowHeight="7965" tabRatio="681" xr2:uid="{00000000-000D-0000-FFFF-FFFF00000000}"/>
  </bookViews>
  <sheets>
    <sheet name="INSTRUCTIONS" sheetId="6" r:id="rId1"/>
    <sheet name="P1 - 20 Pts" sheetId="2" r:id="rId2"/>
    <sheet name="P2 - 5 Pts" sheetId="10" r:id="rId3"/>
    <sheet name="P3 - 10 Pts" sheetId="11" r:id="rId4"/>
    <sheet name="P4 - 10 Pts" sheetId="14" r:id="rId5"/>
    <sheet name="P5 - 20 Pts" sheetId="1" r:id="rId6"/>
    <sheet name="P6 - 15 Pts" sheetId="16" r:id="rId7"/>
    <sheet name="MC-TF 20 Pts" sheetId="15" r:id="rId8"/>
  </sheets>
  <definedNames>
    <definedName name="OLE_LINK1" localSheetId="5">'P5 - 20 Pts'!$C$66</definedName>
    <definedName name="Periods">'P1 - 20 Pts'!$O$21</definedName>
    <definedName name="_xlnm.Print_Area" localSheetId="6">'P6 - 15 Pts'!$B$24:$J$74</definedName>
    <definedName name="Rate">'P1 - 20 Pts'!$F$23</definedName>
    <definedName name="Term">'P1 - 20 Pts'!$F$22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4" i="15" l="1"/>
  <c r="B93" i="15"/>
  <c r="B92" i="15"/>
  <c r="B91" i="15"/>
  <c r="B90" i="15"/>
  <c r="B89" i="15"/>
  <c r="B88" i="15"/>
  <c r="B87" i="15"/>
  <c r="B86" i="15"/>
  <c r="B85" i="15"/>
  <c r="B84" i="15"/>
  <c r="B83" i="15"/>
  <c r="B82" i="15"/>
  <c r="B81" i="15"/>
  <c r="B80" i="15"/>
  <c r="E82" i="1" l="1"/>
  <c r="F71" i="1"/>
  <c r="F72" i="1" s="1"/>
  <c r="F73" i="1" s="1"/>
  <c r="F74" i="1" s="1"/>
  <c r="H27" i="11"/>
  <c r="H21" i="11"/>
  <c r="D103" i="1" l="1"/>
  <c r="D34" i="1"/>
  <c r="E22" i="1"/>
  <c r="E23" i="1" s="1"/>
  <c r="E24" i="1" s="1"/>
  <c r="E25" i="1" s="1"/>
  <c r="H28" i="11"/>
  <c r="H29" i="11" s="1"/>
  <c r="H30" i="11" s="1"/>
  <c r="H22" i="11"/>
  <c r="H23" i="11" s="1"/>
  <c r="H24" i="11" s="1"/>
  <c r="F42" i="16" l="1"/>
  <c r="F55" i="16"/>
  <c r="D68" i="16" l="1"/>
  <c r="E63" i="16"/>
  <c r="E65" i="16" s="1"/>
  <c r="D63" i="16"/>
  <c r="D65" i="16" s="1"/>
  <c r="I60" i="16"/>
  <c r="H60" i="16"/>
  <c r="D57" i="16"/>
  <c r="F56" i="16"/>
  <c r="E54" i="16"/>
  <c r="D54" i="16"/>
  <c r="I53" i="16"/>
  <c r="H53" i="16"/>
  <c r="J53" i="16" s="1"/>
  <c r="I52" i="16"/>
  <c r="H52" i="16"/>
  <c r="F44" i="16"/>
  <c r="I40" i="16"/>
  <c r="H40" i="16"/>
  <c r="E39" i="16"/>
  <c r="E43" i="16" s="1"/>
  <c r="E45" i="16" s="1"/>
  <c r="D39" i="16"/>
  <c r="D43" i="16" s="1"/>
  <c r="D45" i="16" s="1"/>
  <c r="D46" i="16" s="1"/>
  <c r="D47" i="16" s="1"/>
  <c r="I38" i="16"/>
  <c r="H38" i="16"/>
  <c r="F37" i="16"/>
  <c r="J60" i="16" l="1"/>
  <c r="J40" i="16"/>
  <c r="F40" i="16" s="1"/>
  <c r="J52" i="16"/>
  <c r="F52" i="16" s="1"/>
  <c r="D69" i="16"/>
  <c r="D58" i="16"/>
  <c r="J38" i="16"/>
  <c r="F38" i="16" s="1"/>
  <c r="E57" i="16"/>
  <c r="E58" i="16" s="1"/>
  <c r="F57" i="16"/>
  <c r="F60" i="16"/>
  <c r="F63" i="16" s="1"/>
  <c r="F65" i="16" s="1"/>
  <c r="E46" i="16"/>
  <c r="E47" i="16" s="1"/>
  <c r="E67" i="16" s="1"/>
  <c r="F53" i="16"/>
  <c r="F39" i="16" l="1"/>
  <c r="F43" i="16" s="1"/>
  <c r="F45" i="16" s="1"/>
  <c r="F46" i="16" s="1"/>
  <c r="F54" i="16"/>
  <c r="F58" i="16" s="1"/>
  <c r="E68" i="16"/>
  <c r="E69" i="16" s="1"/>
  <c r="F47" i="16" l="1"/>
  <c r="F67" i="16" s="1"/>
  <c r="F68" i="16" s="1"/>
  <c r="F69" i="16" s="1"/>
  <c r="F72" i="16" s="1"/>
  <c r="O20" i="11" l="1"/>
  <c r="I20" i="14"/>
  <c r="I27" i="14" s="1"/>
  <c r="F46" i="1"/>
  <c r="F45" i="1"/>
  <c r="F44" i="1"/>
  <c r="F43" i="1"/>
  <c r="P19" i="11"/>
  <c r="G19" i="10"/>
  <c r="G30" i="2"/>
  <c r="O21" i="2"/>
  <c r="D31" i="2" s="1"/>
  <c r="I21" i="14" l="1"/>
  <c r="I22" i="14" s="1"/>
  <c r="I23" i="14" s="1"/>
  <c r="D85" i="2"/>
  <c r="D65" i="2"/>
  <c r="P20" i="11"/>
  <c r="O21"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E83" i="2"/>
  <c r="G69" i="2"/>
  <c r="F89" i="2"/>
  <c r="G86" i="2"/>
  <c r="E84" i="2"/>
  <c r="F81" i="2"/>
  <c r="G78" i="2"/>
  <c r="E76" i="2"/>
  <c r="F73" i="2"/>
  <c r="G70" i="2"/>
  <c r="E68" i="2"/>
  <c r="D71" i="2"/>
  <c r="D67" i="2"/>
  <c r="D43" i="2"/>
  <c r="D56" i="2"/>
  <c r="D49" i="2"/>
  <c r="I28" i="14" l="1"/>
  <c r="I29" i="14" s="1"/>
  <c r="I30" i="14" s="1"/>
  <c r="D64" i="2"/>
  <c r="D47" i="2"/>
  <c r="D55" i="2"/>
  <c r="D54" i="2"/>
  <c r="D45" i="2"/>
  <c r="D32" i="2"/>
  <c r="D52" i="2"/>
  <c r="D51" i="2"/>
  <c r="D58" i="2"/>
  <c r="D39" i="2"/>
  <c r="D62" i="2"/>
  <c r="D60" i="2"/>
  <c r="D38" i="2"/>
  <c r="D37" i="2"/>
  <c r="D44" i="2"/>
  <c r="D59" i="2"/>
  <c r="D36" i="2"/>
  <c r="D57" i="2"/>
  <c r="D61" i="2"/>
  <c r="D41" i="2"/>
  <c r="D33" i="2"/>
  <c r="D42" i="2"/>
  <c r="D50" i="2"/>
  <c r="D34" i="2"/>
  <c r="D66" i="2"/>
  <c r="D53" i="2"/>
  <c r="D40" i="2"/>
  <c r="D48" i="2"/>
  <c r="D63" i="2"/>
  <c r="D46" i="2"/>
  <c r="P21" i="11"/>
  <c r="F31" i="2"/>
  <c r="G31" i="2" s="1"/>
  <c r="E32" i="2" s="1"/>
  <c r="O22" i="11"/>
  <c r="H22" i="2"/>
  <c r="D35" i="2"/>
  <c r="F32" i="2" l="1"/>
  <c r="G32" i="2" s="1"/>
  <c r="P22" i="11"/>
  <c r="O23" i="11"/>
  <c r="E33" i="2"/>
  <c r="F33" i="2" s="1"/>
  <c r="G33" i="2" s="1"/>
  <c r="P23" i="11" l="1"/>
  <c r="O24" i="11"/>
  <c r="E34" i="2"/>
  <c r="F34" i="2" s="1"/>
  <c r="G34" i="2" s="1"/>
  <c r="P24" i="11" l="1"/>
  <c r="O25" i="11"/>
  <c r="E35" i="2"/>
  <c r="F35" i="2" s="1"/>
  <c r="G35" i="2" s="1"/>
  <c r="P25" i="11" l="1"/>
  <c r="O26" i="11"/>
  <c r="E36" i="2"/>
  <c r="F36" i="2" s="1"/>
  <c r="G36" i="2" s="1"/>
  <c r="P26" i="11" l="1"/>
  <c r="O27" i="11"/>
  <c r="E37" i="2"/>
  <c r="F37" i="2" s="1"/>
  <c r="G37" i="2" s="1"/>
  <c r="P27" i="11" l="1"/>
  <c r="O28" i="11"/>
  <c r="P28" i="11" s="1"/>
  <c r="E38" i="2"/>
  <c r="F38" i="2" s="1"/>
  <c r="G38" i="2" s="1"/>
  <c r="O29" i="11" l="1"/>
  <c r="P29" i="11" s="1"/>
  <c r="E39" i="2"/>
  <c r="F39" i="2" s="1"/>
  <c r="G39" i="2" s="1"/>
  <c r="O30" i="11" l="1"/>
  <c r="P30" i="11" s="1"/>
  <c r="E40" i="2"/>
  <c r="F40" i="2" s="1"/>
  <c r="G40" i="2" s="1"/>
  <c r="O31" i="11" l="1"/>
  <c r="P31" i="11" s="1"/>
  <c r="E41" i="2"/>
  <c r="F41" i="2" s="1"/>
  <c r="G41" i="2" s="1"/>
  <c r="O32" i="11" l="1"/>
  <c r="P32" i="11" s="1"/>
  <c r="E42" i="2"/>
  <c r="F42" i="2" s="1"/>
  <c r="G42" i="2" s="1"/>
  <c r="O33" i="11" l="1"/>
  <c r="P33" i="11" s="1"/>
  <c r="E43" i="2"/>
  <c r="F43" i="2" s="1"/>
  <c r="G43" i="2" s="1"/>
  <c r="O34" i="11" l="1"/>
  <c r="P34" i="11" s="1"/>
  <c r="E44" i="2"/>
  <c r="F44" i="2" s="1"/>
  <c r="G44" i="2" s="1"/>
  <c r="O35" i="11" l="1"/>
  <c r="P35" i="11" s="1"/>
  <c r="E45" i="2"/>
  <c r="F45" i="2" s="1"/>
  <c r="G45" i="2" s="1"/>
  <c r="O36" i="11" l="1"/>
  <c r="P36" i="11" s="1"/>
  <c r="E46" i="2"/>
  <c r="F46" i="2" s="1"/>
  <c r="G46" i="2" s="1"/>
  <c r="O37" i="11" l="1"/>
  <c r="P37" i="11" s="1"/>
  <c r="E47" i="2"/>
  <c r="F47" i="2" s="1"/>
  <c r="G47" i="2" s="1"/>
  <c r="O38" i="11" l="1"/>
  <c r="P38" i="11" s="1"/>
  <c r="E48" i="2"/>
  <c r="F48" i="2" s="1"/>
  <c r="G48" i="2" s="1"/>
  <c r="O39" i="11" l="1"/>
  <c r="P39" i="11" s="1"/>
  <c r="E49" i="2"/>
  <c r="F49" i="2" s="1"/>
  <c r="G49" i="2" s="1"/>
  <c r="O40" i="11" l="1"/>
  <c r="P40" i="11" s="1"/>
  <c r="E50" i="2"/>
  <c r="F50" i="2" s="1"/>
  <c r="G50" i="2" s="1"/>
  <c r="O41" i="11" l="1"/>
  <c r="P41" i="11" s="1"/>
  <c r="E51" i="2"/>
  <c r="F51" i="2" s="1"/>
  <c r="G51" i="2" s="1"/>
  <c r="O42" i="11" l="1"/>
  <c r="P42" i="11" s="1"/>
  <c r="E52" i="2"/>
  <c r="F52" i="2" s="1"/>
  <c r="G52" i="2" s="1"/>
  <c r="O43" i="11" l="1"/>
  <c r="E53" i="2"/>
  <c r="F53" i="2" s="1"/>
  <c r="G53" i="2" s="1"/>
  <c r="P43" i="11" l="1"/>
  <c r="O44" i="11"/>
  <c r="O45" i="11" s="1"/>
  <c r="O46" i="11" s="1"/>
  <c r="O47" i="11" s="1"/>
  <c r="O48" i="11" s="1"/>
  <c r="E54" i="2"/>
  <c r="F54" i="2" s="1"/>
  <c r="G54" i="2" s="1"/>
  <c r="P44" i="11" l="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P82" i="11" s="1"/>
  <c r="P83" i="11" s="1"/>
  <c r="E55" i="2"/>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<sst xmlns="http://schemas.openxmlformats.org/spreadsheetml/2006/main" count="377" uniqueCount="312">
  <si>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</si>
  <si>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</si>
  <si>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</si>
  <si>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</si>
  <si>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</si>
  <si>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</si>
  <si>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</si>
  <si>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</si>
  <si>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</si>
  <si>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</si>
  <si>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</si>
  <si>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</si>
  <si>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</si>
  <si>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</si>
  <si>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</si>
  <si>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</si>
  <si>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</si>
  <si>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</si>
  <si>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</si>
  <si>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</si>
  <si>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</si>
  <si>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</si>
  <si>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</si>
  <si>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</si>
  <si>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</si>
  <si>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</si>
  <si>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</si>
  <si>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</si>
  <si>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</si>
  <si>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</si>
  <si>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</si>
  <si>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</si>
  <si>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</si>
  <si>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</si>
  <si>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</si>
  <si>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</si>
  <si>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</si>
  <si>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</si>
  <si>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</si>
  <si>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</si>
  <si>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</si>
  <si>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</si>
  <si>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</si>
  <si>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</si>
  <si>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</si>
  <si>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</si>
  <si>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</si>
  <si>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</si>
  <si>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</si>
  <si>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</si>
  <si>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</si>
  <si>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</si>
  <si>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</si>
  <si>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</si>
  <si>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</si>
  <si>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</si>
  <si>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</si>
  <si>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</si>
  <si>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</si>
  <si>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</si>
  <si>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</si>
  <si>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</si>
  <si>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</si>
  <si>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</si>
  <si>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</si>
  <si>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</si>
  <si>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</si>
  <si>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</si>
  <si>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</si>
  <si>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</si>
  <si>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</si>
  <si>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</si>
  <si>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</si>
  <si>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</si>
  <si>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</si>
  <si>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</si>
  <si>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</si>
  <si>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</si>
  <si>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</si>
  <si>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</si>
  <si>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</si>
  <si>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</si>
  <si>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</si>
  <si>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</si>
  <si>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</si>
  <si>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</si>
  <si>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</si>
  <si>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</si>
  <si>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</si>
  <si>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</si>
  <si>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</si>
  <si>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</si>
  <si>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</si>
  <si>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</si>
  <si>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</si>
  <si>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</si>
  <si>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</si>
  <si>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</si>
  <si>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</si>
  <si>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</si>
  <si>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</si>
  <si>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</si>
  <si>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</si>
  <si>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</si>
  <si>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</si>
  <si>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</si>
  <si>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</si>
  <si>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</si>
  <si>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</si>
  <si>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</si>
  <si>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</si>
  <si>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</si>
  <si>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</si>
  <si>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</si>
  <si>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</si>
  <si>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</si>
  <si>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</si>
  <si>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</si>
  <si>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</si>
  <si>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</si>
  <si>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</si>
  <si>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</si>
  <si>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</si>
  <si>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</si>
  <si>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</si>
  <si>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</si>
  <si>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</si>
  <si>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</si>
  <si>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</si>
  <si>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</si>
  <si>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</si>
  <si>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</si>
  <si>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</si>
  <si>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</si>
  <si>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</si>
  <si>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</si>
  <si>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</si>
  <si>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</si>
  <si>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</si>
  <si>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</si>
  <si>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</si>
  <si>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</si>
  <si>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</si>
  <si>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</si>
  <si>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</si>
  <si>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</si>
  <si>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</si>
  <si>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</si>
  <si>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</si>
  <si>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</si>
  <si>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</si>
  <si>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</si>
  <si>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</si>
  <si>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</si>
  <si>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</si>
  <si>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</si>
  <si>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</si>
  <si>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</si>
  <si>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</si>
  <si>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</si>
  <si>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</si>
  <si>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</si>
  <si>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</si>
  <si>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</si>
  <si>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</si>
  <si>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</si>
  <si>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</si>
  <si>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</si>
  <si>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</si>
  <si>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</si>
  <si>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</si>
  <si>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</si>
  <si>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</si>
  <si>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</si>
  <si>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</si>
  <si>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</si>
  <si>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</si>
  <si>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</si>
  <si>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</si>
  <si>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</si>
  <si>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</si>
  <si>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</si>
  <si>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</si>
  <si>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</si>
  <si>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</si>
  <si>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</si>
  <si>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</si>
  <si>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</si>
  <si>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</si>
  <si>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</si>
  <si>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</si>
  <si>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</si>
  <si>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</si>
  <si>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</si>
  <si>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</si>
  <si>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</si>
  <si>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</si>
  <si>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</si>
  <si>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</si>
  <si>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</si>
  <si>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</si>
  <si>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</si>
  <si>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</si>
  <si>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</si>
  <si>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</si>
  <si>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</si>
  <si>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</si>
  <si>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</si>
  <si>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</si>
  <si>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</si>
  <si>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</si>
  <si>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</si>
  <si>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</si>
  <si>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</si>
  <si>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</si>
  <si>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</si>
  <si>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</si>
  <si>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</si>
  <si>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</si>
  <si>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</si>
  <si>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</si>
  <si>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</si>
  <si>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</si>
  <si>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</si>
  <si>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</si>
  <si>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</si>
  <si>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</si>
  <si>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</si>
  <si>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</si>
  <si>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</si>
  <si>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</si>
  <si>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</si>
  <si>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</si>
  <si>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</si>
  <si>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</si>
  <si>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</si>
  <si>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</si>
  <si>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</si>
  <si>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</si>
  <si>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</si>
  <si>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</si>
  <si>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</si>
  <si>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</si>
  <si>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</si>
  <si>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</si>
  <si>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</si>
  <si>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</si>
  <si>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</si>
  <si>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</si>
  <si>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</si>
  <si>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</si>
  <si>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</si>
  <si>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</si>
  <si>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</si>
  <si>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</si>
  <si>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</si>
  <si>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Withdrawal 26</t>
  </si>
  <si>
    <t>Withdrawal 27</t>
  </si>
  <si>
    <t>Withdrawal 28</t>
  </si>
  <si>
    <t>Withdrawal 29</t>
  </si>
  <si>
    <t>Withdrawal 30</t>
  </si>
  <si>
    <t>OR</t>
  </si>
  <si>
    <t>#4</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</si>
  <si>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</si>
  <si>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</si>
  <si>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</si>
  <si>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</si>
  <si>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</si>
  <si>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</si>
  <si>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</si>
  <si>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</si>
  <si>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</si>
  <si>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</si>
  <si>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</si>
  <si>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</si>
  <si>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</si>
  <si>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</si>
  <si>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Value of unknowns at t=2</t>
  </si>
  <si>
    <t xml:space="preserve">if the discount rate is 8% per year compounded annually. The four missing cash flows, </t>
  </si>
  <si>
    <t xml:space="preserve">          Assets</t>
  </si>
  <si>
    <t>You plan to make annual deposits into your retirement account on January 1 of every year from 2020</t>
  </si>
  <si>
    <t xml:space="preserve">to 2049 (30 deposits). The first deposit will be $15,000. The remaining 29 deposits will all be equal to each other, </t>
  </si>
  <si>
    <t>your retirement account to pay out $180,000 per year for 30 years starting on January 1, 2055.</t>
  </si>
  <si>
    <t>Amount needed on 1/1/2054</t>
  </si>
  <si>
    <t>PV of above on 01/01/2020</t>
  </si>
  <si>
    <t>Amount of each of the 29 regular payments that</t>
  </si>
  <si>
    <t>Deposit 26</t>
  </si>
  <si>
    <t>Deposit 27</t>
  </si>
  <si>
    <t>Deposit 28</t>
  </si>
  <si>
    <t>Deposit 29</t>
  </si>
  <si>
    <t>Amount needed on 1/1/2055</t>
  </si>
  <si>
    <t xml:space="preserve">for the first  four years, but then will pay an equal amount each year for 5 years, and then </t>
  </si>
  <si>
    <t>projects estimated sales through 2022.  The x-axis should list the individual years</t>
  </si>
  <si>
    <t xml:space="preserve"> and begin with 2007 and end with 2022. The y-axis should be sales in dollars. [5 Points]</t>
  </si>
  <si>
    <t>10 years of sales and uses it to estimate 2020 sales. [3 Points]</t>
  </si>
  <si>
    <t xml:space="preserve">Problem 5 for the years 2010 to 2019, and that includes a linear trendline that </t>
  </si>
  <si>
    <t>Percent Change in Sales from 2018</t>
  </si>
  <si>
    <t>Tax Rate for 2019</t>
  </si>
  <si>
    <t>Common Stock Dividend for 2019</t>
  </si>
  <si>
    <t>Expected addition to Plant and Equipment in 2019</t>
  </si>
  <si>
    <t>Additional depreciation on new Plant/Equip in 2019</t>
  </si>
  <si>
    <t>Excess/(Deficit) Financing for 2019</t>
  </si>
  <si>
    <t>Discount rate</t>
  </si>
  <si>
    <t>NPV</t>
  </si>
  <si>
    <t>include the NPV function, and MUST reference the data in the table.  [4 Points]</t>
  </si>
  <si>
    <t>&lt;-- Final Answer</t>
  </si>
  <si>
    <t xml:space="preserve">Amount of each of the 29 regular payments </t>
  </si>
  <si>
    <t xml:space="preserve">the Net Income from the table at the right for the year </t>
  </si>
  <si>
    <t>Choose</t>
  </si>
  <si>
    <t>A</t>
  </si>
  <si>
    <t>B</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</si>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</sst>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 numFmtId="168" formatCode="_(&quot;$&quot;* #,##0.000_);_(&quot;$&quot;* \(#,##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b/>
      <sz val="12"/>
      <color rgb="FFFF0000"/>
      <name val="Calibri"/>
      <family val="2"/>
      <scheme val="minor"/>
    </font>
    <font>
      <sz val="8"/>
      <name val="Calibri"/>
      <family val="2"/>
      <scheme val="minor"/>
    </font>
    <font>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1"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1" fillId="0" borderId="0" xfId="0" applyNumberFormat="1" applyFont="1"/>
    <xf numFmtId="166" fontId="11" fillId="0" borderId="0" xfId="0" applyNumberFormat="1" applyFont="1"/>
    <xf numFmtId="165" fontId="11" fillId="0" borderId="0" xfId="0" applyNumberFormat="1" applyFont="1"/>
    <xf numFmtId="0" fontId="0" fillId="0" borderId="0" xfId="0"/>
    <xf numFmtId="0" fontId="3" fillId="0" borderId="0" xfId="0" applyFont="1"/>
    <xf numFmtId="0" fontId="3" fillId="0" borderId="0" xfId="0" applyFont="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164" fontId="11" fillId="0" borderId="17" xfId="2" applyNumberFormat="1" applyFont="1" applyBorder="1"/>
    <xf numFmtId="0" fontId="11" fillId="0" borderId="17" xfId="0" applyFont="1" applyBorder="1"/>
    <xf numFmtId="10" fontId="11" fillId="0" borderId="17" xfId="0" applyNumberFormat="1" applyFont="1" applyBorder="1"/>
    <xf numFmtId="164" fontId="11" fillId="0" borderId="0" xfId="2" applyNumberFormat="1" applyFont="1" applyBorder="1"/>
    <xf numFmtId="0" fontId="11"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0"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164" fontId="0" fillId="4" borderId="21" xfId="2" applyNumberFormat="1" applyFont="1" applyFill="1" applyBorder="1"/>
    <xf numFmtId="41" fontId="0" fillId="2" borderId="0" xfId="0" applyNumberFormat="1" applyFill="1"/>
    <xf numFmtId="41" fontId="5" fillId="2" borderId="0" xfId="0" applyNumberFormat="1" applyFont="1" applyFill="1"/>
    <xf numFmtId="41" fontId="8" fillId="6" borderId="14" xfId="0" quotePrefix="1" applyNumberFormat="1" applyFont="1" applyFill="1" applyBorder="1" applyAlignment="1">
      <alignment horizontal="center" vertical="center"/>
    </xf>
    <xf numFmtId="0" fontId="14" fillId="0" borderId="0" xfId="0" applyFont="1"/>
    <xf numFmtId="0" fontId="15" fillId="0" borderId="0" xfId="0" applyFont="1"/>
    <xf numFmtId="0" fontId="16" fillId="0" borderId="0" xfId="0" applyFont="1"/>
    <xf numFmtId="164" fontId="1" fillId="0" borderId="6" xfId="2" applyNumberFormat="1" applyBorder="1" applyAlignment="1">
      <alignment horizontal="center"/>
    </xf>
    <xf numFmtId="164" fontId="2" fillId="0" borderId="6" xfId="2" applyNumberFormat="1" applyFont="1" applyBorder="1" applyAlignment="1">
      <alignment horizontal="center"/>
    </xf>
    <xf numFmtId="168" fontId="0" fillId="0" borderId="0" xfId="0" applyNumberFormat="1"/>
    <xf numFmtId="0" fontId="0" fillId="0" borderId="5" xfId="0" applyBorder="1" applyAlignment="1">
      <alignment horizontal="center" vertical="center"/>
    </xf>
    <xf numFmtId="9" fontId="1" fillId="0" borderId="6" xfId="3" applyFont="1" applyBorder="1" applyAlignment="1">
      <alignment horizontal="center"/>
    </xf>
    <xf numFmtId="0" fontId="0" fillId="0" borderId="9" xfId="0" applyBorder="1" applyAlignment="1">
      <alignment horizontal="center" vertical="center"/>
    </xf>
    <xf numFmtId="44" fontId="0" fillId="2" borderId="22" xfId="2" applyFont="1" applyFill="1" applyBorder="1"/>
    <xf numFmtId="44" fontId="0" fillId="2" borderId="23" xfId="0" applyNumberFormat="1" applyFill="1" applyBorder="1"/>
    <xf numFmtId="8" fontId="0" fillId="2" borderId="23" xfId="0" applyNumberFormat="1" applyFill="1" applyBorder="1"/>
    <xf numFmtId="8" fontId="0" fillId="2" borderId="24" xfId="0" applyNumberFormat="1" applyFill="1" applyBorder="1"/>
    <xf numFmtId="0" fontId="0" fillId="0" borderId="0" xfId="0" applyAlignment="1">
      <alignment horizontal="left" vertical="top" wrapText="1"/>
    </xf>
    <xf numFmtId="0" fontId="18" fillId="0" borderId="0" xfId="0" applyFont="1" applyProtection="1">
      <protection hidden="1"/>
    </xf>
    <xf numFmtId="8" fontId="18" fillId="0" borderId="0" xfId="0" applyNumberFormat="1" applyFont="1" applyProtection="1">
      <protection hidden="1"/>
    </xf>
    <xf numFmtId="0" fontId="3" fillId="2" borderId="14" xfId="0" applyFont="1" applyFill="1" applyBorder="1" applyAlignment="1">
      <alignment horizontal="center"/>
    </xf>
    <xf numFmtId="0" fontId="13"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Pts'!$C$93:$C$102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xVal>
          <c:yVal>
            <c:numRef>
              <c:f>'P5 - 20 Pts'!$D$93:$D$102</c:f>
              <c:numCache>
                <c:formatCode>_("$"* #,##0_);_("$"* \(#,##0\);_("$"* "-"??_);_(@_)</c:formatCode>
                <c:ptCount val="10"/>
                <c:pt idx="0">
                  <c:v>946000</c:v>
                </c:pt>
                <c:pt idx="1">
                  <c:v>1055600</c:v>
                </c:pt>
                <c:pt idx="2">
                  <c:v>1321800</c:v>
                </c:pt>
                <c:pt idx="3">
                  <c:v>1216500</c:v>
                </c:pt>
                <c:pt idx="4">
                  <c:v>1429500</c:v>
                </c:pt>
                <c:pt idx="5">
                  <c:v>1562540</c:v>
                </c:pt>
                <c:pt idx="6">
                  <c:v>1386540</c:v>
                </c:pt>
                <c:pt idx="7">
                  <c:v>1486550</c:v>
                </c:pt>
                <c:pt idx="8">
                  <c:v>1362500</c:v>
                </c:pt>
                <c:pt idx="9">
                  <c:v>1598650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2"/>
          <c:min val="20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32</xdr:row>
      <xdr:rowOff>39370</xdr:rowOff>
    </xdr:from>
    <xdr:to>
      <xdr:col>8</xdr:col>
      <xdr:colOff>419100</xdr:colOff>
      <xdr:row>38</xdr:row>
      <xdr:rowOff>58420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17625" y="5982970"/>
          <a:ext cx="434022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Your output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1</xdr:col>
      <xdr:colOff>181744</xdr:colOff>
      <xdr:row>109</xdr:row>
      <xdr:rowOff>62948</xdr:rowOff>
    </xdr:from>
    <xdr:to>
      <xdr:col>8</xdr:col>
      <xdr:colOff>99392</xdr:colOff>
      <xdr:row>126</xdr:row>
      <xdr:rowOff>57978</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106%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$420,000 in new equipment </a:t>
          </a:r>
          <a:r>
            <a:rPr lang="en-US" sz="1100" b="1" baseline="0">
              <a:solidFill>
                <a:schemeClr val="dk1"/>
              </a:solidFill>
              <a:effectLst/>
              <a:latin typeface="+mn-lt"/>
              <a:ea typeface="+mn-ea"/>
              <a:cs typeface="+mn-cs"/>
            </a:rPr>
            <a:t>in 2019.  This equipment will be depreciated at $70,000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28"/>
  <sheetViews>
    <sheetView showGridLines="0" tabSelected="1" zoomScale="145" zoomScaleNormal="145" workbookViewId="0"/>
  </sheetViews>
  <sheetFormatPr defaultColWidth="9.140625" defaultRowHeight="15" x14ac:dyDescent="0.25"/>
  <cols>
    <col min="1" max="1" width="2.7109375" style="132" customWidth="1"/>
    <col min="2" max="16384" width="9.140625" style="132"/>
  </cols>
  <sheetData>
    <row r="2" spans="2:2" ht="18.75" x14ac:dyDescent="0.3">
      <c r="B2" s="131" t="s">
        <v>52</v>
      </c>
    </row>
    <row r="3" spans="2:2" ht="18.75" x14ac:dyDescent="0.3">
      <c r="B3" s="131" t="s">
        <v>72</v>
      </c>
    </row>
    <row r="4" spans="2:2" ht="18.75" x14ac:dyDescent="0.3">
      <c r="B4" s="131" t="s">
        <v>58</v>
      </c>
    </row>
    <row r="5" spans="2:2" ht="6" customHeight="1" x14ac:dyDescent="0.3">
      <c r="B5" s="131"/>
    </row>
    <row r="6" spans="2:2" ht="16.5" customHeight="1" x14ac:dyDescent="0.3">
      <c r="B6" s="131" t="s">
        <v>99</v>
      </c>
    </row>
    <row r="7" spans="2:2" ht="16.5" customHeight="1" x14ac:dyDescent="0.3">
      <c r="B7" s="131" t="s">
        <v>100</v>
      </c>
    </row>
    <row r="8" spans="2:2" ht="16.5" customHeight="1" x14ac:dyDescent="0.3">
      <c r="B8" s="131" t="s">
        <v>121</v>
      </c>
    </row>
    <row r="9" spans="2:2" ht="4.5" customHeight="1" x14ac:dyDescent="0.3">
      <c r="B9" s="131"/>
    </row>
    <row r="10" spans="2:2" ht="15" customHeight="1" x14ac:dyDescent="0.3">
      <c r="B10" s="131" t="s">
        <v>53</v>
      </c>
    </row>
    <row r="11" spans="2:2" ht="16.5" customHeight="1" x14ac:dyDescent="0.3">
      <c r="B11" s="131"/>
    </row>
    <row r="12" spans="2:2" ht="17.649999999999999" customHeight="1" x14ac:dyDescent="0.25">
      <c r="B12" s="132" t="s">
        <v>232</v>
      </c>
    </row>
    <row r="13" spans="2:2" ht="18.75" x14ac:dyDescent="0.3">
      <c r="B13" s="131"/>
    </row>
    <row r="14" spans="2:2" ht="20.45" customHeight="1" x14ac:dyDescent="0.25">
      <c r="B14" s="132" t="s">
        <v>54</v>
      </c>
    </row>
    <row r="15" spans="2:2" x14ac:dyDescent="0.25">
      <c r="B15" s="132" t="s">
        <v>122</v>
      </c>
    </row>
    <row r="16" spans="2:2" x14ac:dyDescent="0.25">
      <c r="B16" s="132" t="s">
        <v>212</v>
      </c>
    </row>
    <row r="18" spans="2:3" ht="17.649999999999999" customHeight="1" x14ac:dyDescent="0.25">
      <c r="B18" s="133" t="s">
        <v>101</v>
      </c>
    </row>
    <row r="19" spans="2:3" ht="17.649999999999999" customHeight="1" x14ac:dyDescent="0.25">
      <c r="B19" s="133" t="s">
        <v>102</v>
      </c>
    </row>
    <row r="20" spans="2:3" ht="17.649999999999999" customHeight="1" x14ac:dyDescent="0.25"/>
    <row r="21" spans="2:3" ht="14.65" customHeight="1" x14ac:dyDescent="0.25">
      <c r="B21" s="132" t="s">
        <v>73</v>
      </c>
    </row>
    <row r="23" spans="2:3" ht="19.5" customHeight="1" x14ac:dyDescent="0.25">
      <c r="C23" s="132" t="s">
        <v>74</v>
      </c>
    </row>
    <row r="24" spans="2:3" x14ac:dyDescent="0.25">
      <c r="C24" s="132" t="s">
        <v>103</v>
      </c>
    </row>
    <row r="25" spans="2:3" x14ac:dyDescent="0.25">
      <c r="C25" s="132" t="s">
        <v>123</v>
      </c>
    </row>
    <row r="28" spans="2:3" x14ac:dyDescent="0.25">
      <c r="C28" s="132" t="s">
        <v>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60</v>
      </c>
    </row>
    <row r="21" spans="3:19" ht="15.75" thickBot="1" x14ac:dyDescent="0.3">
      <c r="C21" s="6" t="s">
        <v>8</v>
      </c>
      <c r="F21" s="2">
        <v>420000</v>
      </c>
      <c r="G21" t="s">
        <v>85</v>
      </c>
      <c r="N21" t="s">
        <v>77</v>
      </c>
      <c r="O21">
        <f>IF(F25="Annual",1,IF(F25="Quarterly",4,12))</f>
        <v>12</v>
      </c>
      <c r="P21">
        <v>1</v>
      </c>
    </row>
    <row r="22" spans="3:19" ht="15.75" thickBot="1" x14ac:dyDescent="0.3">
      <c r="C22" s="38" t="s">
        <v>80</v>
      </c>
      <c r="F22" s="45">
        <v>3</v>
      </c>
      <c r="G22" t="s">
        <v>88</v>
      </c>
      <c r="H22" s="5">
        <f>D31*Term*Periods+F24-F21</f>
        <v>66102.440521580516</v>
      </c>
      <c r="N22" t="s">
        <v>78</v>
      </c>
      <c r="P22">
        <v>2</v>
      </c>
    </row>
    <row r="23" spans="3:19" x14ac:dyDescent="0.25">
      <c r="C23" s="6" t="s">
        <v>9</v>
      </c>
      <c r="F23" s="3">
        <v>7.4999999999999997E-2</v>
      </c>
      <c r="N23" t="s">
        <v>79</v>
      </c>
      <c r="P23">
        <v>3</v>
      </c>
    </row>
    <row r="24" spans="3:19" ht="15.75" thickBot="1" x14ac:dyDescent="0.3">
      <c r="C24" s="6" t="s">
        <v>10</v>
      </c>
      <c r="F24" s="2">
        <v>150000</v>
      </c>
      <c r="G24" t="s">
        <v>86</v>
      </c>
      <c r="P24">
        <v>4</v>
      </c>
    </row>
    <row r="25" spans="3:19" ht="15.75" thickBot="1" x14ac:dyDescent="0.3">
      <c r="C25" s="38" t="s">
        <v>59</v>
      </c>
      <c r="F25" t="s">
        <v>79</v>
      </c>
      <c r="G25" t="s">
        <v>87</v>
      </c>
      <c r="H25" s="50">
        <f>EFFECT(Rate,Periods)</f>
        <v>7.7632598856030688E-2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420000</v>
      </c>
    </row>
    <row r="31" spans="3:19" x14ac:dyDescent="0.25">
      <c r="C31" s="12">
        <v>1</v>
      </c>
      <c r="D31" s="14">
        <f>PMT(Rate/Periods,Term*Periods,-F21,F24)</f>
        <v>9336.1789033772366</v>
      </c>
      <c r="E31" s="13">
        <f t="shared" ref="E31:E62" si="0">IF(C31&gt;Term*Periods,"",G30*Rate/Periods)</f>
        <v>2625</v>
      </c>
      <c r="F31" s="14">
        <f t="shared" ref="F31:F62" si="1">IF(C31&gt;Term*Periods,"",D31-E31)</f>
        <v>6711.1789033772366</v>
      </c>
      <c r="G31" s="13">
        <f t="shared" ref="G31:G62" si="2">IF(C31&gt;Term*Periods,"",G30-F31)</f>
        <v>413288.82109662273</v>
      </c>
      <c r="K31" t="s">
        <v>15</v>
      </c>
    </row>
    <row r="32" spans="3:19" x14ac:dyDescent="0.25">
      <c r="C32" s="12">
        <v>2</v>
      </c>
      <c r="D32" s="14">
        <f t="shared" ref="D32:D63" si="3">IF(C32&gt;Term*Periods,"",IF(C32=Term*Periods,$D$31+$F$24,$D$31))</f>
        <v>9336.1789033772366</v>
      </c>
      <c r="E32" s="13">
        <f t="shared" si="0"/>
        <v>2583.0551318538919</v>
      </c>
      <c r="F32" s="14">
        <f t="shared" si="1"/>
        <v>6753.1237715233447</v>
      </c>
      <c r="G32" s="13">
        <f t="shared" si="2"/>
        <v>406535.69732509938</v>
      </c>
    </row>
    <row r="33" spans="3:7" x14ac:dyDescent="0.25">
      <c r="C33" s="12">
        <v>3</v>
      </c>
      <c r="D33" s="14">
        <f t="shared" si="3"/>
        <v>9336.1789033772366</v>
      </c>
      <c r="E33" s="13">
        <f t="shared" si="0"/>
        <v>2540.8481082818712</v>
      </c>
      <c r="F33" s="14">
        <f t="shared" si="1"/>
        <v>6795.3307950953658</v>
      </c>
      <c r="G33" s="13">
        <f t="shared" si="2"/>
        <v>399740.36653000402</v>
      </c>
    </row>
    <row r="34" spans="3:7" x14ac:dyDescent="0.25">
      <c r="C34" s="12">
        <v>4</v>
      </c>
      <c r="D34" s="14">
        <f t="shared" si="3"/>
        <v>9336.1789033772366</v>
      </c>
      <c r="E34" s="13">
        <f t="shared" si="0"/>
        <v>2498.3772908125252</v>
      </c>
      <c r="F34" s="14">
        <f t="shared" si="1"/>
        <v>6837.8016125647118</v>
      </c>
      <c r="G34" s="13">
        <f t="shared" si="2"/>
        <v>392902.5649174393</v>
      </c>
    </row>
    <row r="35" spans="3:7" x14ac:dyDescent="0.25">
      <c r="C35" s="12">
        <v>5</v>
      </c>
      <c r="D35" s="14">
        <f t="shared" si="3"/>
        <v>9336.1789033772366</v>
      </c>
      <c r="E35" s="13">
        <f t="shared" si="0"/>
        <v>2455.6410307339956</v>
      </c>
      <c r="F35" s="14">
        <f t="shared" si="1"/>
        <v>6880.5378726432409</v>
      </c>
      <c r="G35" s="13">
        <f t="shared" si="2"/>
        <v>386022.02704479604</v>
      </c>
    </row>
    <row r="36" spans="3:7" x14ac:dyDescent="0.25">
      <c r="C36" s="12">
        <v>6</v>
      </c>
      <c r="D36" s="14">
        <f t="shared" si="3"/>
        <v>9336.1789033772366</v>
      </c>
      <c r="E36" s="13">
        <f t="shared" si="0"/>
        <v>2412.6376690299753</v>
      </c>
      <c r="F36" s="14">
        <f t="shared" si="1"/>
        <v>6923.5412343472617</v>
      </c>
      <c r="G36" s="13">
        <f t="shared" si="2"/>
        <v>379098.48581044876</v>
      </c>
    </row>
    <row r="37" spans="3:7" x14ac:dyDescent="0.25">
      <c r="C37" s="12">
        <v>7</v>
      </c>
      <c r="D37" s="14">
        <f t="shared" si="3"/>
        <v>9336.1789033772366</v>
      </c>
      <c r="E37" s="13">
        <f t="shared" si="0"/>
        <v>2369.3655363153048</v>
      </c>
      <c r="F37" s="14">
        <f t="shared" si="1"/>
        <v>6966.8133670619318</v>
      </c>
      <c r="G37" s="13">
        <f t="shared" si="2"/>
        <v>372131.67244338681</v>
      </c>
    </row>
    <row r="38" spans="3:7" x14ac:dyDescent="0.25">
      <c r="C38" s="12">
        <v>8</v>
      </c>
      <c r="D38" s="14">
        <f t="shared" si="3"/>
        <v>9336.1789033772366</v>
      </c>
      <c r="E38" s="13">
        <f t="shared" si="0"/>
        <v>2325.8229527711674</v>
      </c>
      <c r="F38" s="14">
        <f t="shared" si="1"/>
        <v>7010.3559506060692</v>
      </c>
      <c r="G38" s="13">
        <f t="shared" si="2"/>
        <v>365121.31649278075</v>
      </c>
    </row>
    <row r="39" spans="3:7" x14ac:dyDescent="0.25">
      <c r="C39" s="12">
        <v>9</v>
      </c>
      <c r="D39" s="14">
        <f t="shared" si="3"/>
        <v>9336.1789033772366</v>
      </c>
      <c r="E39" s="13">
        <f t="shared" si="0"/>
        <v>2282.0082280798797</v>
      </c>
      <c r="F39" s="14">
        <f t="shared" si="1"/>
        <v>7054.1706752973569</v>
      </c>
      <c r="G39" s="13">
        <f t="shared" si="2"/>
        <v>358067.14581748337</v>
      </c>
    </row>
    <row r="40" spans="3:7" x14ac:dyDescent="0.25">
      <c r="C40" s="12">
        <v>10</v>
      </c>
      <c r="D40" s="14">
        <f t="shared" si="3"/>
        <v>9336.1789033772366</v>
      </c>
      <c r="E40" s="13">
        <f t="shared" si="0"/>
        <v>2237.9196613592708</v>
      </c>
      <c r="F40" s="14">
        <f t="shared" si="1"/>
        <v>7098.2592420179662</v>
      </c>
      <c r="G40" s="13">
        <f t="shared" si="2"/>
        <v>350968.88657546538</v>
      </c>
    </row>
    <row r="41" spans="3:7" x14ac:dyDescent="0.25">
      <c r="C41" s="12">
        <v>11</v>
      </c>
      <c r="D41" s="14">
        <f t="shared" si="3"/>
        <v>9336.1789033772366</v>
      </c>
      <c r="E41" s="13">
        <f t="shared" si="0"/>
        <v>2193.5555410966585</v>
      </c>
      <c r="F41" s="14">
        <f t="shared" si="1"/>
        <v>7142.6233622805776</v>
      </c>
      <c r="G41" s="13">
        <f t="shared" si="2"/>
        <v>343826.26321318478</v>
      </c>
    </row>
    <row r="42" spans="3:7" x14ac:dyDescent="0.25">
      <c r="C42" s="12">
        <v>12</v>
      </c>
      <c r="D42" s="14">
        <f t="shared" si="3"/>
        <v>9336.1789033772366</v>
      </c>
      <c r="E42" s="13">
        <f t="shared" si="0"/>
        <v>2148.914145082405</v>
      </c>
      <c r="F42" s="14">
        <f t="shared" si="1"/>
        <v>7187.2647582948321</v>
      </c>
      <c r="G42" s="13">
        <f t="shared" si="2"/>
        <v>336638.99845488992</v>
      </c>
    </row>
    <row r="43" spans="3:7" x14ac:dyDescent="0.25">
      <c r="C43" s="12">
        <v>13</v>
      </c>
      <c r="D43" s="14">
        <f t="shared" si="3"/>
        <v>9336.1789033772366</v>
      </c>
      <c r="E43" s="13">
        <f t="shared" si="0"/>
        <v>2103.9937403430617</v>
      </c>
      <c r="F43" s="14">
        <f t="shared" si="1"/>
        <v>7232.1851630341753</v>
      </c>
      <c r="G43" s="13">
        <f t="shared" si="2"/>
        <v>329406.81329185574</v>
      </c>
    </row>
    <row r="44" spans="3:7" x14ac:dyDescent="0.25">
      <c r="C44" s="12">
        <v>14</v>
      </c>
      <c r="D44" s="14">
        <f t="shared" si="3"/>
        <v>9336.1789033772366</v>
      </c>
      <c r="E44" s="13">
        <f t="shared" si="0"/>
        <v>2058.7925830740983</v>
      </c>
      <c r="F44" s="14">
        <f t="shared" si="1"/>
        <v>7277.3863203031378</v>
      </c>
      <c r="G44" s="13">
        <f t="shared" si="2"/>
        <v>322129.4269715526</v>
      </c>
    </row>
    <row r="45" spans="3:7" x14ac:dyDescent="0.25">
      <c r="C45" s="12">
        <v>15</v>
      </c>
      <c r="D45" s="14">
        <f t="shared" si="3"/>
        <v>9336.1789033772366</v>
      </c>
      <c r="E45" s="13">
        <f t="shared" si="0"/>
        <v>2013.3089185722038</v>
      </c>
      <c r="F45" s="14">
        <f t="shared" si="1"/>
        <v>7322.8699848050328</v>
      </c>
      <c r="G45" s="13">
        <f t="shared" si="2"/>
        <v>314806.55698674754</v>
      </c>
    </row>
    <row r="46" spans="3:7" x14ac:dyDescent="0.25">
      <c r="C46" s="12">
        <v>16</v>
      </c>
      <c r="D46" s="14">
        <f t="shared" si="3"/>
        <v>9336.1789033772366</v>
      </c>
      <c r="E46" s="13">
        <f t="shared" si="0"/>
        <v>1967.5409811671723</v>
      </c>
      <c r="F46" s="14">
        <f t="shared" si="1"/>
        <v>7368.6379222100641</v>
      </c>
      <c r="G46" s="13">
        <f t="shared" si="2"/>
        <v>307437.91906453751</v>
      </c>
    </row>
    <row r="47" spans="3:7" x14ac:dyDescent="0.25">
      <c r="C47" s="12">
        <v>17</v>
      </c>
      <c r="D47" s="14">
        <f t="shared" si="3"/>
        <v>9336.1789033772366</v>
      </c>
      <c r="E47" s="13">
        <f t="shared" si="0"/>
        <v>1921.4869941533595</v>
      </c>
      <c r="F47" s="14">
        <f t="shared" si="1"/>
        <v>7414.6919092238768</v>
      </c>
      <c r="G47" s="13">
        <f t="shared" si="2"/>
        <v>300023.22715531365</v>
      </c>
    </row>
    <row r="48" spans="3:7" x14ac:dyDescent="0.25">
      <c r="C48" s="12">
        <v>18</v>
      </c>
      <c r="D48" s="14">
        <f t="shared" si="3"/>
        <v>9336.1789033772366</v>
      </c>
      <c r="E48" s="13">
        <f t="shared" si="0"/>
        <v>1875.1451697207103</v>
      </c>
      <c r="F48" s="14">
        <f t="shared" si="1"/>
        <v>7461.0337336565262</v>
      </c>
      <c r="G48" s="13">
        <f t="shared" si="2"/>
        <v>292562.19342165714</v>
      </c>
    </row>
    <row r="49" spans="3:7" x14ac:dyDescent="0.25">
      <c r="C49" s="12">
        <v>19</v>
      </c>
      <c r="D49" s="14">
        <f t="shared" si="3"/>
        <v>9336.1789033772366</v>
      </c>
      <c r="E49" s="13">
        <f t="shared" si="0"/>
        <v>1828.5137088853571</v>
      </c>
      <c r="F49" s="14">
        <f t="shared" si="1"/>
        <v>7507.6651944918794</v>
      </c>
      <c r="G49" s="13">
        <f t="shared" si="2"/>
        <v>285054.52822716528</v>
      </c>
    </row>
    <row r="50" spans="3:7" x14ac:dyDescent="0.25">
      <c r="C50" s="12">
        <v>20</v>
      </c>
      <c r="D50" s="14">
        <f t="shared" si="3"/>
        <v>9336.1789033772366</v>
      </c>
      <c r="E50" s="13">
        <f t="shared" si="0"/>
        <v>1781.590801419783</v>
      </c>
      <c r="F50" s="14">
        <f t="shared" si="1"/>
        <v>7554.5881019574535</v>
      </c>
      <c r="G50" s="13">
        <f t="shared" si="2"/>
        <v>277499.94012520782</v>
      </c>
    </row>
    <row r="51" spans="3:7" x14ac:dyDescent="0.25">
      <c r="C51" s="12">
        <v>21</v>
      </c>
      <c r="D51" s="14">
        <f t="shared" si="3"/>
        <v>9336.1789033772366</v>
      </c>
      <c r="E51" s="13">
        <f t="shared" si="0"/>
        <v>1734.3746257825487</v>
      </c>
      <c r="F51" s="14">
        <f t="shared" si="1"/>
        <v>7601.8042775946878</v>
      </c>
      <c r="G51" s="13">
        <f t="shared" si="2"/>
        <v>269898.13584761316</v>
      </c>
    </row>
    <row r="52" spans="3:7" x14ac:dyDescent="0.25">
      <c r="C52" s="12">
        <v>22</v>
      </c>
      <c r="D52" s="14">
        <f t="shared" si="3"/>
        <v>9336.1789033772366</v>
      </c>
      <c r="E52" s="13">
        <f t="shared" si="0"/>
        <v>1686.8633490475822</v>
      </c>
      <c r="F52" s="14">
        <f t="shared" si="1"/>
        <v>7649.3155543296543</v>
      </c>
      <c r="G52" s="13">
        <f t="shared" si="2"/>
        <v>262248.8202932835</v>
      </c>
    </row>
    <row r="53" spans="3:7" x14ac:dyDescent="0.25">
      <c r="C53" s="12">
        <v>23</v>
      </c>
      <c r="D53" s="14">
        <f t="shared" si="3"/>
        <v>9336.1789033772366</v>
      </c>
      <c r="E53" s="13">
        <f t="shared" si="0"/>
        <v>1639.0551268330219</v>
      </c>
      <c r="F53" s="14">
        <f t="shared" si="1"/>
        <v>7697.1237765442147</v>
      </c>
      <c r="G53" s="13">
        <f t="shared" si="2"/>
        <v>254551.69651673929</v>
      </c>
    </row>
    <row r="54" spans="3:7" x14ac:dyDescent="0.25">
      <c r="C54" s="12">
        <v>24</v>
      </c>
      <c r="D54" s="14">
        <f t="shared" si="3"/>
        <v>9336.1789033772366</v>
      </c>
      <c r="E54" s="13">
        <f t="shared" si="0"/>
        <v>1590.9481032296205</v>
      </c>
      <c r="F54" s="14">
        <f t="shared" si="1"/>
        <v>7745.2308001476158</v>
      </c>
      <c r="G54" s="13">
        <f t="shared" si="2"/>
        <v>246806.46571659169</v>
      </c>
    </row>
    <row r="55" spans="3:7" x14ac:dyDescent="0.25">
      <c r="C55" s="12">
        <v>25</v>
      </c>
      <c r="D55" s="14">
        <f t="shared" si="3"/>
        <v>9336.1789033772366</v>
      </c>
      <c r="E55" s="13">
        <f t="shared" si="0"/>
        <v>1542.5404107286979</v>
      </c>
      <c r="F55" s="14">
        <f t="shared" si="1"/>
        <v>7793.6384926485389</v>
      </c>
      <c r="G55" s="13">
        <f t="shared" si="2"/>
        <v>239012.82722394314</v>
      </c>
    </row>
    <row r="56" spans="3:7" x14ac:dyDescent="0.25">
      <c r="C56" s="12">
        <v>26</v>
      </c>
      <c r="D56" s="14">
        <f t="shared" si="3"/>
        <v>9336.1789033772366</v>
      </c>
      <c r="E56" s="13">
        <f t="shared" si="0"/>
        <v>1493.8301701496446</v>
      </c>
      <c r="F56" s="14">
        <f t="shared" si="1"/>
        <v>7842.3487332275918</v>
      </c>
      <c r="G56" s="13">
        <f t="shared" si="2"/>
        <v>231170.47849071556</v>
      </c>
    </row>
    <row r="57" spans="3:7" x14ac:dyDescent="0.25">
      <c r="C57" s="12">
        <v>27</v>
      </c>
      <c r="D57" s="14">
        <f t="shared" si="3"/>
        <v>9336.1789033772366</v>
      </c>
      <c r="E57" s="13">
        <f t="shared" si="0"/>
        <v>1444.8154905669724</v>
      </c>
      <c r="F57" s="14">
        <f t="shared" si="1"/>
        <v>7891.363412810264</v>
      </c>
      <c r="G57" s="13">
        <f t="shared" si="2"/>
        <v>223279.1150779053</v>
      </c>
    </row>
    <row r="58" spans="3:7" x14ac:dyDescent="0.25">
      <c r="C58" s="12">
        <v>28</v>
      </c>
      <c r="D58" s="14">
        <f t="shared" si="3"/>
        <v>9336.1789033772366</v>
      </c>
      <c r="E58" s="13">
        <f t="shared" si="0"/>
        <v>1395.4944692369081</v>
      </c>
      <c r="F58" s="14">
        <f t="shared" si="1"/>
        <v>7940.6844341403284</v>
      </c>
      <c r="G58" s="13">
        <f t="shared" si="2"/>
        <v>215338.43064376496</v>
      </c>
    </row>
    <row r="59" spans="3:7" x14ac:dyDescent="0.25">
      <c r="C59" s="12">
        <v>29</v>
      </c>
      <c r="D59" s="14">
        <f t="shared" si="3"/>
        <v>9336.1789033772366</v>
      </c>
      <c r="E59" s="13">
        <f t="shared" si="0"/>
        <v>1345.8651915235309</v>
      </c>
      <c r="F59" s="14">
        <f t="shared" si="1"/>
        <v>7990.3137118537052</v>
      </c>
      <c r="G59" s="13">
        <f t="shared" si="2"/>
        <v>207348.11693191127</v>
      </c>
    </row>
    <row r="60" spans="3:7" x14ac:dyDescent="0.25">
      <c r="C60" s="12">
        <v>30</v>
      </c>
      <c r="D60" s="14">
        <f t="shared" si="3"/>
        <v>9336.1789033772366</v>
      </c>
      <c r="E60" s="13">
        <f t="shared" si="0"/>
        <v>1295.9257308244453</v>
      </c>
      <c r="F60" s="14">
        <f t="shared" si="1"/>
        <v>8040.2531725527915</v>
      </c>
      <c r="G60" s="13">
        <f t="shared" si="2"/>
        <v>199307.86375935847</v>
      </c>
    </row>
    <row r="61" spans="3:7" x14ac:dyDescent="0.25">
      <c r="C61" s="12">
        <v>31</v>
      </c>
      <c r="D61" s="14">
        <f t="shared" si="3"/>
        <v>9336.1789033772366</v>
      </c>
      <c r="E61" s="13">
        <f t="shared" si="0"/>
        <v>1245.6741484959905</v>
      </c>
      <c r="F61" s="14">
        <f t="shared" si="1"/>
        <v>8090.5047548812463</v>
      </c>
      <c r="G61" s="13">
        <f t="shared" si="2"/>
        <v>191217.35900447721</v>
      </c>
    </row>
    <row r="62" spans="3:7" x14ac:dyDescent="0.25">
      <c r="C62" s="12">
        <v>32</v>
      </c>
      <c r="D62" s="14">
        <f t="shared" si="3"/>
        <v>9336.1789033772366</v>
      </c>
      <c r="E62" s="13">
        <f t="shared" si="0"/>
        <v>1195.1084937779826</v>
      </c>
      <c r="F62" s="14">
        <f t="shared" si="1"/>
        <v>8141.0704095992542</v>
      </c>
      <c r="G62" s="13">
        <f t="shared" si="2"/>
        <v>183076.28859487796</v>
      </c>
    </row>
    <row r="63" spans="3:7" x14ac:dyDescent="0.25">
      <c r="C63" s="12">
        <v>33</v>
      </c>
      <c r="D63" s="14">
        <f t="shared" si="3"/>
        <v>9336.1789033772366</v>
      </c>
      <c r="E63" s="13">
        <f t="shared" ref="E63:E90" si="4">IF(C63&gt;Term*Periods,"",G62*Rate/Periods)</f>
        <v>1144.2268037179872</v>
      </c>
      <c r="F63" s="14">
        <f t="shared" ref="F63:F90" si="5">IF(C63&gt;Term*Periods,"",D63-E63)</f>
        <v>8191.9520996592491</v>
      </c>
      <c r="G63" s="13">
        <f t="shared" ref="G63:G90" si="6">IF(C63&gt;Term*Periods,"",G62-F63)</f>
        <v>174884.33649521871</v>
      </c>
    </row>
    <row r="64" spans="3:7" x14ac:dyDescent="0.25">
      <c r="C64" s="12">
        <v>34</v>
      </c>
      <c r="D64" s="14">
        <f t="shared" ref="D64:D90" si="7">IF(C64&gt;Term*Periods,"",IF(C64=Term*Periods,$D$31+$F$24,$D$31))</f>
        <v>9336.1789033772366</v>
      </c>
      <c r="E64" s="13">
        <f t="shared" si="4"/>
        <v>1093.0271030951169</v>
      </c>
      <c r="F64" s="14">
        <f t="shared" si="5"/>
        <v>8243.1518002821194</v>
      </c>
      <c r="G64" s="13">
        <f t="shared" si="6"/>
        <v>166641.18469493659</v>
      </c>
    </row>
    <row r="65" spans="3:7" x14ac:dyDescent="0.25">
      <c r="C65" s="12">
        <v>35</v>
      </c>
      <c r="D65" s="14">
        <f t="shared" si="7"/>
        <v>9336.1789033772366</v>
      </c>
      <c r="E65" s="13">
        <f t="shared" si="4"/>
        <v>1041.5074043433535</v>
      </c>
      <c r="F65" s="14">
        <f t="shared" si="5"/>
        <v>8294.6714990338824</v>
      </c>
      <c r="G65" s="13">
        <f t="shared" si="6"/>
        <v>158346.51319590269</v>
      </c>
    </row>
    <row r="66" spans="3:7" x14ac:dyDescent="0.25">
      <c r="C66" s="12">
        <v>36</v>
      </c>
      <c r="D66" s="14">
        <f t="shared" si="7"/>
        <v>159336.17890337724</v>
      </c>
      <c r="E66" s="13">
        <f t="shared" si="4"/>
        <v>989.66570747439175</v>
      </c>
      <c r="F66" s="14">
        <f t="shared" si="5"/>
        <v>158346.51319590284</v>
      </c>
      <c r="G66" s="13">
        <f t="shared" si="6"/>
        <v>-1.4551915228366852E-10</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0.02</formula1>
      <formula2>0.08</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8: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61</v>
      </c>
      <c r="C18" s="44">
        <v>420000</v>
      </c>
      <c r="E18" s="43" t="s">
        <v>82</v>
      </c>
    </row>
    <row r="19" spans="2:7" ht="15.75" thickBot="1" x14ac:dyDescent="0.3">
      <c r="B19" s="43" t="s">
        <v>62</v>
      </c>
      <c r="C19" s="41">
        <v>3</v>
      </c>
      <c r="E19" s="43" t="s">
        <v>83</v>
      </c>
      <c r="G19" s="48">
        <f>PMT(C20/12,C19*12,-C18)</f>
        <v>13064.611627475702</v>
      </c>
    </row>
    <row r="20" spans="2:7" x14ac:dyDescent="0.25">
      <c r="B20" s="43" t="s">
        <v>16</v>
      </c>
      <c r="C20" s="51">
        <v>7.4999999999999997E-2</v>
      </c>
    </row>
    <row r="21" spans="2:7" x14ac:dyDescent="0.25">
      <c r="B21" s="43" t="s">
        <v>63</v>
      </c>
      <c r="C21" s="44">
        <v>2000</v>
      </c>
      <c r="E21" s="43" t="s">
        <v>81</v>
      </c>
    </row>
    <row r="22" spans="2:7" ht="15.75" thickBot="1" x14ac:dyDescent="0.3">
      <c r="E22" s="43" t="s">
        <v>64</v>
      </c>
    </row>
    <row r="23" spans="2:7" ht="15.75" thickBot="1" x14ac:dyDescent="0.3">
      <c r="E23" s="43" t="s">
        <v>84</v>
      </c>
      <c r="G23" s="87">
        <f>NPER(C20/12,G19+C21,-C18)</f>
        <v>30.729635899916428</v>
      </c>
    </row>
    <row r="25" spans="2:7" x14ac:dyDescent="0.25">
      <c r="E25" s="43" t="s">
        <v>65</v>
      </c>
    </row>
    <row r="26" spans="2:7" x14ac:dyDescent="0.25">
      <c r="E26" s="43" t="s">
        <v>66</v>
      </c>
    </row>
    <row r="27" spans="2:7" x14ac:dyDescent="0.25">
      <c r="E27" s="43" t="s">
        <v>67</v>
      </c>
    </row>
    <row r="28" spans="2:7" x14ac:dyDescent="0.25">
      <c r="E28" s="43" t="s">
        <v>68</v>
      </c>
    </row>
    <row r="29" spans="2:7" x14ac:dyDescent="0.25">
      <c r="E29" s="43" t="s">
        <v>69</v>
      </c>
    </row>
    <row r="30" spans="2:7" ht="15.75" thickBot="1" x14ac:dyDescent="0.3">
      <c r="E30" s="43" t="s">
        <v>70</v>
      </c>
    </row>
    <row r="31" spans="2:7" ht="15.75" thickBot="1" x14ac:dyDescent="0.3">
      <c r="E31" s="43" t="s">
        <v>71</v>
      </c>
      <c r="G31" s="5">
        <f>(G19*C19*12)-(G23*(G19+C21))</f>
        <v>7395.9883031495265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P86"/>
  <sheetViews>
    <sheetView showGridLines="0" zoomScaleNormal="100" workbookViewId="0"/>
  </sheetViews>
  <sheetFormatPr defaultRowHeight="15" x14ac:dyDescent="0.25"/>
  <cols>
    <col min="1" max="1" width="4.42578125" customWidth="1"/>
    <col min="7" max="7" width="17.5703125" customWidth="1"/>
    <col min="8" max="8" width="14.5703125" customWidth="1"/>
    <col min="10" max="10" width="13.5703125" bestFit="1" customWidth="1"/>
    <col min="13" max="13" width="11.7109375" customWidth="1"/>
    <col min="14" max="14" width="17" style="86" customWidth="1"/>
    <col min="15" max="15" width="14.42578125" customWidth="1"/>
    <col min="16" max="16" width="15.140625" customWidth="1"/>
    <col min="17" max="17" width="21.5703125" customWidth="1"/>
  </cols>
  <sheetData>
    <row r="2" spans="2:16" x14ac:dyDescent="0.25">
      <c r="B2" s="107" t="s">
        <v>105</v>
      </c>
      <c r="C2" s="52"/>
      <c r="D2" s="52"/>
      <c r="E2" s="52"/>
      <c r="F2" s="52"/>
      <c r="G2" s="52"/>
      <c r="H2" s="52"/>
      <c r="I2" s="52"/>
      <c r="J2" s="52"/>
      <c r="K2" s="52"/>
    </row>
    <row r="3" spans="2:16" x14ac:dyDescent="0.25">
      <c r="B3" s="107" t="s">
        <v>282</v>
      </c>
      <c r="C3" s="52"/>
      <c r="D3" s="52"/>
      <c r="E3" s="52"/>
      <c r="F3" s="52"/>
      <c r="G3" s="52"/>
      <c r="H3" s="52"/>
      <c r="I3" s="52"/>
      <c r="J3" s="52"/>
      <c r="K3" s="52"/>
    </row>
    <row r="4" spans="2:16" s="107" customFormat="1" x14ac:dyDescent="0.25">
      <c r="N4" s="86"/>
    </row>
    <row r="5" spans="2:16" x14ac:dyDescent="0.25">
      <c r="B5" s="107" t="s">
        <v>255</v>
      </c>
      <c r="C5" s="52"/>
      <c r="D5" s="52"/>
      <c r="E5" s="52"/>
      <c r="F5" s="52"/>
      <c r="G5" s="52"/>
      <c r="H5" s="52"/>
      <c r="I5" s="52"/>
      <c r="J5" s="52"/>
      <c r="K5" s="52"/>
    </row>
    <row r="6" spans="2:16" ht="24" customHeight="1" x14ac:dyDescent="0.25">
      <c r="B6" s="107" t="s">
        <v>280</v>
      </c>
      <c r="C6" s="52"/>
      <c r="D6" s="52"/>
      <c r="E6" s="52"/>
      <c r="F6" s="52"/>
      <c r="G6" s="52"/>
      <c r="H6" s="52"/>
      <c r="I6" s="52"/>
      <c r="J6" s="52"/>
      <c r="K6" s="52"/>
    </row>
    <row r="7" spans="2:16" x14ac:dyDescent="0.25">
      <c r="B7" s="107" t="s">
        <v>281</v>
      </c>
      <c r="C7" s="52"/>
      <c r="D7" s="52"/>
      <c r="E7" s="52"/>
      <c r="F7" s="52"/>
      <c r="G7" s="52"/>
      <c r="H7" s="52"/>
      <c r="I7" s="52"/>
      <c r="J7" s="52"/>
      <c r="K7" s="52"/>
    </row>
    <row r="8" spans="2:16" x14ac:dyDescent="0.25">
      <c r="B8" s="107" t="s">
        <v>190</v>
      </c>
      <c r="C8" s="52"/>
      <c r="D8" s="52"/>
      <c r="E8" s="52"/>
      <c r="F8" s="52"/>
      <c r="G8" s="52"/>
      <c r="H8" s="52"/>
      <c r="I8" s="52"/>
      <c r="J8" s="52"/>
      <c r="K8" s="52"/>
    </row>
    <row r="9" spans="2:16" ht="9" customHeight="1" x14ac:dyDescent="0.25">
      <c r="B9" s="107"/>
      <c r="C9" s="52"/>
      <c r="D9" s="52"/>
      <c r="E9" s="52"/>
      <c r="F9" s="52"/>
      <c r="G9" s="52"/>
      <c r="H9" s="52"/>
      <c r="I9" s="52"/>
      <c r="J9" s="52"/>
      <c r="K9" s="52"/>
    </row>
    <row r="10" spans="2:16" x14ac:dyDescent="0.25">
      <c r="B10" s="107" t="s">
        <v>191</v>
      </c>
      <c r="C10" s="52"/>
      <c r="D10" s="52"/>
      <c r="E10" s="52"/>
      <c r="F10" s="52"/>
      <c r="G10" s="52"/>
      <c r="H10" s="52"/>
      <c r="I10" s="52"/>
      <c r="J10" s="52"/>
      <c r="K10" s="52"/>
    </row>
    <row r="11" spans="2:16" x14ac:dyDescent="0.25">
      <c r="B11" s="107" t="s">
        <v>192</v>
      </c>
      <c r="C11" s="52"/>
      <c r="D11" s="52"/>
      <c r="E11" s="52"/>
      <c r="F11" s="52"/>
      <c r="G11" s="52"/>
      <c r="H11" s="52"/>
      <c r="I11" s="52"/>
      <c r="J11" s="52"/>
      <c r="K11" s="52"/>
    </row>
    <row r="12" spans="2:16" x14ac:dyDescent="0.25">
      <c r="B12" s="107" t="s">
        <v>193</v>
      </c>
      <c r="C12" s="52"/>
      <c r="D12" s="52"/>
      <c r="E12" s="52"/>
      <c r="F12" s="52"/>
      <c r="G12" s="52"/>
      <c r="H12" s="52"/>
      <c r="I12" s="52"/>
      <c r="J12" s="52"/>
      <c r="K12" s="52"/>
      <c r="O12" s="84"/>
      <c r="P12" s="84"/>
    </row>
    <row r="13" spans="2:16" s="83" customFormat="1" ht="8.65" customHeight="1" x14ac:dyDescent="0.25">
      <c r="B13" s="107"/>
      <c r="N13" s="86"/>
      <c r="O13" s="84"/>
      <c r="P13" s="84"/>
    </row>
    <row r="14" spans="2:16" s="83" customFormat="1" x14ac:dyDescent="0.25">
      <c r="B14" s="107" t="s">
        <v>106</v>
      </c>
      <c r="N14" s="86"/>
      <c r="O14" s="84"/>
      <c r="P14" s="84"/>
    </row>
    <row r="15" spans="2:16" s="83" customFormat="1" x14ac:dyDescent="0.25">
      <c r="B15" s="107" t="s">
        <v>107</v>
      </c>
      <c r="N15" s="86"/>
      <c r="O15" s="84"/>
      <c r="P15" s="84"/>
    </row>
    <row r="16" spans="2:16" s="83" customFormat="1" ht="15.75" thickBot="1" x14ac:dyDescent="0.3">
      <c r="N16" s="86"/>
      <c r="O16" s="84"/>
      <c r="P16" s="84"/>
    </row>
    <row r="17" spans="2:16" ht="15.75" thickBot="1" x14ac:dyDescent="0.3">
      <c r="B17" s="52"/>
      <c r="C17" s="52" t="s">
        <v>108</v>
      </c>
      <c r="D17" s="52"/>
      <c r="E17" s="52"/>
      <c r="F17" s="52"/>
      <c r="G17" s="52"/>
      <c r="H17" s="56">
        <v>0.06</v>
      </c>
      <c r="I17" s="52"/>
      <c r="J17" s="52"/>
      <c r="K17" s="52"/>
      <c r="O17" s="84" t="s">
        <v>184</v>
      </c>
      <c r="P17" s="84" t="s">
        <v>186</v>
      </c>
    </row>
    <row r="18" spans="2:16" ht="15.75" thickBot="1" x14ac:dyDescent="0.3">
      <c r="B18" s="54"/>
      <c r="C18" s="54"/>
      <c r="D18" s="54"/>
      <c r="E18" s="54"/>
      <c r="F18" s="54"/>
      <c r="G18" s="54"/>
      <c r="H18" s="54"/>
      <c r="I18" s="54"/>
      <c r="J18" s="54"/>
      <c r="K18" s="54"/>
      <c r="L18" s="101" t="s">
        <v>210</v>
      </c>
      <c r="M18" s="84" t="s">
        <v>187</v>
      </c>
      <c r="N18" s="84" t="s">
        <v>188</v>
      </c>
      <c r="O18" s="84" t="s">
        <v>185</v>
      </c>
      <c r="P18" s="84" t="s">
        <v>14</v>
      </c>
    </row>
    <row r="19" spans="2:16" ht="15.75" thickBot="1" x14ac:dyDescent="0.3">
      <c r="B19" s="147" t="s">
        <v>109</v>
      </c>
      <c r="C19" s="147"/>
      <c r="D19" s="147"/>
      <c r="E19" s="147"/>
      <c r="F19" s="147"/>
      <c r="G19" s="147"/>
      <c r="H19" s="147"/>
      <c r="I19" s="147"/>
      <c r="J19" s="147"/>
      <c r="K19" s="147"/>
      <c r="L19">
        <v>0</v>
      </c>
      <c r="M19" s="85">
        <v>43831</v>
      </c>
      <c r="N19" s="86" t="s">
        <v>139</v>
      </c>
      <c r="O19" s="53">
        <v>15000</v>
      </c>
      <c r="P19" s="53">
        <f>O19</f>
        <v>15000</v>
      </c>
    </row>
    <row r="20" spans="2:16" x14ac:dyDescent="0.25">
      <c r="L20">
        <v>1</v>
      </c>
      <c r="M20" s="85">
        <v>44197</v>
      </c>
      <c r="N20" s="86" t="s">
        <v>140</v>
      </c>
      <c r="O20" s="53">
        <f>H24</f>
        <v>24038.401593744798</v>
      </c>
      <c r="P20" s="53">
        <f>O20+(P19*(1+$H$17))</f>
        <v>39938.401593744798</v>
      </c>
    </row>
    <row r="21" spans="2:16" x14ac:dyDescent="0.25">
      <c r="C21" s="55" t="s">
        <v>110</v>
      </c>
      <c r="D21" t="s">
        <v>283</v>
      </c>
      <c r="H21" s="53">
        <f>-PV(H17,30,180000,0)</f>
        <v>2477669.6072680973</v>
      </c>
      <c r="J21" s="95"/>
      <c r="L21">
        <v>2</v>
      </c>
      <c r="M21" s="85">
        <v>44562</v>
      </c>
      <c r="N21" s="86" t="s">
        <v>141</v>
      </c>
      <c r="O21" s="53">
        <f t="shared" ref="O21:O48" si="0">O20</f>
        <v>24038.401593744798</v>
      </c>
      <c r="P21" s="95">
        <f t="shared" ref="P21:P78" si="1">O21+(P20*(1+$H$17))</f>
        <v>66373.107283114281</v>
      </c>
    </row>
    <row r="22" spans="2:16" x14ac:dyDescent="0.25">
      <c r="C22" s="55" t="s">
        <v>111</v>
      </c>
      <c r="D22" t="s">
        <v>284</v>
      </c>
      <c r="H22" s="53">
        <f>-PV(H17,34,0,H21)</f>
        <v>341699.20984122209</v>
      </c>
      <c r="L22" s="99">
        <v>3</v>
      </c>
      <c r="M22" s="85">
        <v>44927</v>
      </c>
      <c r="N22" s="86" t="s">
        <v>142</v>
      </c>
      <c r="O22" s="53">
        <f t="shared" si="0"/>
        <v>24038.401593744798</v>
      </c>
      <c r="P22" s="95">
        <f t="shared" si="1"/>
        <v>94393.895313845933</v>
      </c>
    </row>
    <row r="23" spans="2:16" x14ac:dyDescent="0.25">
      <c r="C23" t="s">
        <v>112</v>
      </c>
      <c r="D23" t="s">
        <v>194</v>
      </c>
      <c r="H23" s="88">
        <f>H22-15000</f>
        <v>326699.20984122209</v>
      </c>
      <c r="L23" s="99">
        <v>4</v>
      </c>
      <c r="M23" s="85">
        <v>45292</v>
      </c>
      <c r="N23" s="86" t="s">
        <v>143</v>
      </c>
      <c r="O23" s="53">
        <f t="shared" si="0"/>
        <v>24038.401593744798</v>
      </c>
      <c r="P23" s="95">
        <f t="shared" si="1"/>
        <v>124095.9306264215</v>
      </c>
    </row>
    <row r="24" spans="2:16" x14ac:dyDescent="0.25">
      <c r="C24" s="90" t="s">
        <v>262</v>
      </c>
      <c r="D24" t="s">
        <v>306</v>
      </c>
      <c r="H24" s="53">
        <f>PMT(H17,29,-H23,0)</f>
        <v>24038.401593744798</v>
      </c>
      <c r="I24" s="55" t="s">
        <v>113</v>
      </c>
      <c r="L24" s="99">
        <v>5</v>
      </c>
      <c r="M24" s="85">
        <v>45658</v>
      </c>
      <c r="N24" s="86" t="s">
        <v>144</v>
      </c>
      <c r="O24" s="53">
        <f t="shared" si="0"/>
        <v>24038.401593744798</v>
      </c>
      <c r="P24" s="95">
        <f t="shared" si="1"/>
        <v>155580.08805775159</v>
      </c>
    </row>
    <row r="25" spans="2:16" x14ac:dyDescent="0.25">
      <c r="D25" t="s">
        <v>195</v>
      </c>
      <c r="L25" s="99">
        <v>6</v>
      </c>
      <c r="M25" s="85">
        <v>46023</v>
      </c>
      <c r="N25" s="86" t="s">
        <v>145</v>
      </c>
      <c r="O25" s="53">
        <f t="shared" si="0"/>
        <v>24038.401593744798</v>
      </c>
      <c r="P25" s="95">
        <f t="shared" si="1"/>
        <v>188953.29493496148</v>
      </c>
    </row>
    <row r="26" spans="2:16" ht="18.75" x14ac:dyDescent="0.3">
      <c r="C26" s="107"/>
      <c r="D26" s="148" t="s">
        <v>261</v>
      </c>
      <c r="E26" s="148"/>
      <c r="F26" s="148"/>
      <c r="G26" s="148"/>
      <c r="H26" s="148"/>
      <c r="I26" s="107"/>
      <c r="L26" s="99">
        <v>7</v>
      </c>
      <c r="M26" s="85">
        <v>46388</v>
      </c>
      <c r="N26" s="86" t="s">
        <v>146</v>
      </c>
      <c r="O26" s="53">
        <f t="shared" si="0"/>
        <v>24038.401593744798</v>
      </c>
      <c r="P26" s="95">
        <f t="shared" si="1"/>
        <v>224328.89422480395</v>
      </c>
    </row>
    <row r="27" spans="2:16" x14ac:dyDescent="0.25">
      <c r="C27" s="90" t="s">
        <v>110</v>
      </c>
      <c r="D27" s="107" t="s">
        <v>290</v>
      </c>
      <c r="E27" s="107"/>
      <c r="F27" s="107"/>
      <c r="G27" s="107"/>
      <c r="H27" s="95">
        <f>-PV(H17,30,180000,0,1)</f>
        <v>2626329.7837041835</v>
      </c>
      <c r="I27" s="107"/>
      <c r="L27" s="99">
        <v>8</v>
      </c>
      <c r="M27" s="85">
        <v>46753</v>
      </c>
      <c r="N27" s="86" t="s">
        <v>147</v>
      </c>
      <c r="O27" s="53">
        <f t="shared" si="0"/>
        <v>24038.401593744798</v>
      </c>
      <c r="P27" s="95">
        <f t="shared" si="1"/>
        <v>261827.02947203699</v>
      </c>
    </row>
    <row r="28" spans="2:16" x14ac:dyDescent="0.25">
      <c r="C28" s="90" t="s">
        <v>111</v>
      </c>
      <c r="D28" s="107" t="s">
        <v>284</v>
      </c>
      <c r="E28" s="107"/>
      <c r="F28" s="107"/>
      <c r="G28" s="107"/>
      <c r="H28" s="95">
        <f>-PV(H17,35,0,H27)</f>
        <v>341699.20984122209</v>
      </c>
      <c r="I28" s="107"/>
      <c r="L28" s="99">
        <v>9</v>
      </c>
      <c r="M28" s="85">
        <v>47119</v>
      </c>
      <c r="N28" s="86" t="s">
        <v>148</v>
      </c>
      <c r="O28" s="53">
        <f t="shared" si="0"/>
        <v>24038.401593744798</v>
      </c>
      <c r="P28" s="95">
        <f t="shared" si="1"/>
        <v>301575.05283410405</v>
      </c>
    </row>
    <row r="29" spans="2:16" x14ac:dyDescent="0.25">
      <c r="C29" s="107" t="s">
        <v>112</v>
      </c>
      <c r="D29" s="107" t="s">
        <v>194</v>
      </c>
      <c r="E29" s="107"/>
      <c r="F29" s="107"/>
      <c r="G29" s="107"/>
      <c r="H29" s="95">
        <f>H28-15000</f>
        <v>326699.20984122209</v>
      </c>
      <c r="I29" s="107"/>
      <c r="L29" s="99">
        <v>10</v>
      </c>
      <c r="M29" s="85">
        <v>47484</v>
      </c>
      <c r="N29" s="86" t="s">
        <v>149</v>
      </c>
      <c r="O29" s="53">
        <f t="shared" si="0"/>
        <v>24038.401593744798</v>
      </c>
      <c r="P29" s="95">
        <f t="shared" si="1"/>
        <v>343707.95759789512</v>
      </c>
    </row>
    <row r="30" spans="2:16" x14ac:dyDescent="0.25">
      <c r="C30" s="90" t="s">
        <v>262</v>
      </c>
      <c r="D30" s="107" t="s">
        <v>285</v>
      </c>
      <c r="E30" s="107"/>
      <c r="F30" s="107"/>
      <c r="G30" s="107"/>
      <c r="H30" s="95">
        <f>PMT(H17,29,-H29,0)</f>
        <v>24038.401593744798</v>
      </c>
      <c r="I30" s="90" t="s">
        <v>113</v>
      </c>
      <c r="L30" s="99">
        <v>11</v>
      </c>
      <c r="M30" s="85">
        <v>47849</v>
      </c>
      <c r="N30" s="86" t="s">
        <v>150</v>
      </c>
      <c r="O30" s="53">
        <f t="shared" si="0"/>
        <v>24038.401593744798</v>
      </c>
      <c r="P30" s="95">
        <f t="shared" si="1"/>
        <v>388368.83664751367</v>
      </c>
    </row>
    <row r="31" spans="2:16" x14ac:dyDescent="0.25">
      <c r="D31" s="107" t="s">
        <v>195</v>
      </c>
      <c r="I31" s="107"/>
      <c r="L31" s="99">
        <v>12</v>
      </c>
      <c r="M31" s="85">
        <v>48214</v>
      </c>
      <c r="N31" s="86" t="s">
        <v>151</v>
      </c>
      <c r="O31" s="53">
        <f t="shared" si="0"/>
        <v>24038.401593744798</v>
      </c>
      <c r="P31" s="95">
        <f t="shared" si="1"/>
        <v>435709.36844010931</v>
      </c>
    </row>
    <row r="32" spans="2:16" x14ac:dyDescent="0.25">
      <c r="C32" s="107"/>
      <c r="D32" s="107"/>
      <c r="E32" s="107"/>
      <c r="F32" s="107"/>
      <c r="G32" s="107"/>
      <c r="H32" s="107"/>
      <c r="I32" s="107"/>
      <c r="L32" s="99">
        <v>13</v>
      </c>
      <c r="M32" s="85">
        <v>48580</v>
      </c>
      <c r="N32" s="86" t="s">
        <v>152</v>
      </c>
      <c r="O32" s="53">
        <f t="shared" si="0"/>
        <v>24038.401593744798</v>
      </c>
      <c r="P32" s="95">
        <f t="shared" si="1"/>
        <v>485890.33214026073</v>
      </c>
    </row>
    <row r="33" spans="12:16" x14ac:dyDescent="0.25">
      <c r="L33" s="99">
        <v>14</v>
      </c>
      <c r="M33" s="85">
        <v>48945</v>
      </c>
      <c r="N33" s="86" t="s">
        <v>153</v>
      </c>
      <c r="O33" s="53">
        <f t="shared" si="0"/>
        <v>24038.401593744798</v>
      </c>
      <c r="P33" s="95">
        <f t="shared" si="1"/>
        <v>539082.15366242116</v>
      </c>
    </row>
    <row r="34" spans="12:16" x14ac:dyDescent="0.25">
      <c r="L34" s="99">
        <v>15</v>
      </c>
      <c r="M34" s="85">
        <v>49310</v>
      </c>
      <c r="N34" s="86" t="s">
        <v>154</v>
      </c>
      <c r="O34" s="53">
        <f t="shared" si="0"/>
        <v>24038.401593744798</v>
      </c>
      <c r="P34" s="95">
        <f t="shared" si="1"/>
        <v>595465.48447591125</v>
      </c>
    </row>
    <row r="35" spans="12:16" x14ac:dyDescent="0.25">
      <c r="L35" s="99">
        <v>16</v>
      </c>
      <c r="M35" s="85">
        <v>49675</v>
      </c>
      <c r="N35" s="86" t="s">
        <v>155</v>
      </c>
      <c r="O35" s="53">
        <f t="shared" si="0"/>
        <v>24038.401593744798</v>
      </c>
      <c r="P35" s="95">
        <f t="shared" si="1"/>
        <v>655231.81513821066</v>
      </c>
    </row>
    <row r="36" spans="12:16" x14ac:dyDescent="0.25">
      <c r="L36" s="99">
        <v>17</v>
      </c>
      <c r="M36" s="85">
        <v>50041</v>
      </c>
      <c r="N36" s="86" t="s">
        <v>156</v>
      </c>
      <c r="O36" s="53">
        <f t="shared" si="0"/>
        <v>24038.401593744798</v>
      </c>
      <c r="P36" s="95">
        <f t="shared" si="1"/>
        <v>718584.12564024806</v>
      </c>
    </row>
    <row r="37" spans="12:16" x14ac:dyDescent="0.25">
      <c r="L37" s="99">
        <v>18</v>
      </c>
      <c r="M37" s="85">
        <v>50406</v>
      </c>
      <c r="N37" s="86" t="s">
        <v>157</v>
      </c>
      <c r="O37" s="53">
        <f t="shared" si="0"/>
        <v>24038.401593744798</v>
      </c>
      <c r="P37" s="95">
        <f t="shared" si="1"/>
        <v>785737.57477240777</v>
      </c>
    </row>
    <row r="38" spans="12:16" x14ac:dyDescent="0.25">
      <c r="L38" s="99">
        <v>19</v>
      </c>
      <c r="M38" s="85">
        <v>50771</v>
      </c>
      <c r="N38" s="86" t="s">
        <v>158</v>
      </c>
      <c r="O38" s="53">
        <f t="shared" si="0"/>
        <v>24038.401593744798</v>
      </c>
      <c r="P38" s="95">
        <f t="shared" si="1"/>
        <v>856920.23085249704</v>
      </c>
    </row>
    <row r="39" spans="12:16" x14ac:dyDescent="0.25">
      <c r="L39" s="99">
        <v>20</v>
      </c>
      <c r="M39" s="85">
        <v>51136</v>
      </c>
      <c r="N39" s="86" t="s">
        <v>159</v>
      </c>
      <c r="O39" s="53">
        <f t="shared" si="0"/>
        <v>24038.401593744798</v>
      </c>
      <c r="P39" s="95">
        <f t="shared" si="1"/>
        <v>932373.84629739169</v>
      </c>
    </row>
    <row r="40" spans="12:16" x14ac:dyDescent="0.25">
      <c r="L40" s="99">
        <v>21</v>
      </c>
      <c r="M40" s="85">
        <v>51502</v>
      </c>
      <c r="N40" s="86" t="s">
        <v>160</v>
      </c>
      <c r="O40" s="53">
        <f t="shared" si="0"/>
        <v>24038.401593744798</v>
      </c>
      <c r="P40" s="95">
        <f t="shared" si="1"/>
        <v>1012354.67866898</v>
      </c>
    </row>
    <row r="41" spans="12:16" x14ac:dyDescent="0.25">
      <c r="L41" s="99">
        <v>22</v>
      </c>
      <c r="M41" s="85">
        <v>51867</v>
      </c>
      <c r="N41" s="86" t="s">
        <v>161</v>
      </c>
      <c r="O41" s="53">
        <f t="shared" si="0"/>
        <v>24038.401593744798</v>
      </c>
      <c r="P41" s="95">
        <f t="shared" si="1"/>
        <v>1097134.3609828637</v>
      </c>
    </row>
    <row r="42" spans="12:16" x14ac:dyDescent="0.25">
      <c r="L42" s="99">
        <v>23</v>
      </c>
      <c r="M42" s="85">
        <v>52232</v>
      </c>
      <c r="N42" s="86" t="s">
        <v>162</v>
      </c>
      <c r="O42" s="53">
        <f t="shared" si="0"/>
        <v>24038.401593744798</v>
      </c>
      <c r="P42" s="95">
        <f t="shared" si="1"/>
        <v>1187000.8242355804</v>
      </c>
    </row>
    <row r="43" spans="12:16" x14ac:dyDescent="0.25">
      <c r="L43" s="99">
        <v>24</v>
      </c>
      <c r="M43" s="85">
        <v>52597</v>
      </c>
      <c r="N43" s="86" t="s">
        <v>163</v>
      </c>
      <c r="O43" s="53">
        <f t="shared" si="0"/>
        <v>24038.401593744798</v>
      </c>
      <c r="P43" s="95">
        <f t="shared" si="1"/>
        <v>1282259.27528346</v>
      </c>
    </row>
    <row r="44" spans="12:16" x14ac:dyDescent="0.25">
      <c r="L44" s="99">
        <v>25</v>
      </c>
      <c r="M44" s="85">
        <v>52963</v>
      </c>
      <c r="N44" s="86" t="s">
        <v>286</v>
      </c>
      <c r="O44" s="95">
        <f t="shared" si="0"/>
        <v>24038.401593744798</v>
      </c>
      <c r="P44" s="95">
        <f t="shared" si="1"/>
        <v>1383233.2333942126</v>
      </c>
    </row>
    <row r="45" spans="12:16" x14ac:dyDescent="0.25">
      <c r="L45" s="99">
        <v>26</v>
      </c>
      <c r="M45" s="85">
        <v>53328</v>
      </c>
      <c r="N45" s="86" t="s">
        <v>287</v>
      </c>
      <c r="O45" s="95">
        <f t="shared" si="0"/>
        <v>24038.401593744798</v>
      </c>
      <c r="P45" s="95">
        <f t="shared" si="1"/>
        <v>1490265.6289916101</v>
      </c>
    </row>
    <row r="46" spans="12:16" x14ac:dyDescent="0.25">
      <c r="L46" s="99">
        <v>27</v>
      </c>
      <c r="M46" s="85">
        <v>53693</v>
      </c>
      <c r="N46" s="86" t="s">
        <v>288</v>
      </c>
      <c r="O46" s="95">
        <f t="shared" si="0"/>
        <v>24038.401593744798</v>
      </c>
      <c r="P46" s="95">
        <f t="shared" si="1"/>
        <v>1603719.9683248515</v>
      </c>
    </row>
    <row r="47" spans="12:16" x14ac:dyDescent="0.25">
      <c r="L47" s="99">
        <v>28</v>
      </c>
      <c r="M47" s="85">
        <v>54058</v>
      </c>
      <c r="N47" s="86" t="s">
        <v>289</v>
      </c>
      <c r="O47" s="95">
        <f t="shared" si="0"/>
        <v>24038.401593744798</v>
      </c>
      <c r="P47" s="95">
        <f t="shared" si="1"/>
        <v>1723981.5680180874</v>
      </c>
    </row>
    <row r="48" spans="12:16" x14ac:dyDescent="0.25">
      <c r="L48" s="99">
        <v>29</v>
      </c>
      <c r="M48" s="85">
        <v>54424</v>
      </c>
      <c r="N48" s="86" t="s">
        <v>189</v>
      </c>
      <c r="O48" s="95">
        <f t="shared" si="0"/>
        <v>24038.401593744798</v>
      </c>
      <c r="P48" s="95">
        <f t="shared" si="1"/>
        <v>1851458.8636929174</v>
      </c>
    </row>
    <row r="49" spans="8:16" x14ac:dyDescent="0.25">
      <c r="L49" s="123">
        <v>30</v>
      </c>
      <c r="M49" s="85">
        <v>54789</v>
      </c>
      <c r="N49" s="86" t="s">
        <v>189</v>
      </c>
      <c r="O49" s="107">
        <v>0</v>
      </c>
      <c r="P49" s="95">
        <f t="shared" si="1"/>
        <v>1962546.3955144926</v>
      </c>
    </row>
    <row r="50" spans="8:16" x14ac:dyDescent="0.25">
      <c r="L50" s="99">
        <v>31</v>
      </c>
      <c r="M50" s="85">
        <v>55154</v>
      </c>
      <c r="N50" s="86" t="s">
        <v>189</v>
      </c>
      <c r="O50" s="107">
        <v>0</v>
      </c>
      <c r="P50" s="95">
        <f t="shared" si="1"/>
        <v>2080299.1792453623</v>
      </c>
    </row>
    <row r="51" spans="8:16" x14ac:dyDescent="0.25">
      <c r="L51" s="99">
        <v>32</v>
      </c>
      <c r="M51" s="85">
        <v>55519</v>
      </c>
      <c r="N51" s="86" t="s">
        <v>189</v>
      </c>
      <c r="O51" s="107">
        <v>0</v>
      </c>
      <c r="P51" s="95">
        <f t="shared" si="1"/>
        <v>2205117.1300000842</v>
      </c>
    </row>
    <row r="52" spans="8:16" x14ac:dyDescent="0.25">
      <c r="L52" s="123">
        <v>33</v>
      </c>
      <c r="M52" s="85">
        <v>55885</v>
      </c>
      <c r="N52" s="86" t="s">
        <v>189</v>
      </c>
      <c r="O52" s="107">
        <v>0</v>
      </c>
      <c r="P52" s="95">
        <f t="shared" si="1"/>
        <v>2337424.1578000896</v>
      </c>
    </row>
    <row r="53" spans="8:16" x14ac:dyDescent="0.25">
      <c r="L53" s="99">
        <v>34</v>
      </c>
      <c r="M53" s="85">
        <v>56250</v>
      </c>
      <c r="N53" s="86" t="s">
        <v>189</v>
      </c>
      <c r="O53" s="107">
        <v>0</v>
      </c>
      <c r="P53" s="95">
        <f t="shared" si="1"/>
        <v>2477669.607268095</v>
      </c>
    </row>
    <row r="54" spans="8:16" x14ac:dyDescent="0.25">
      <c r="L54" s="99">
        <v>35</v>
      </c>
      <c r="M54" s="85">
        <v>56615</v>
      </c>
      <c r="N54" s="86" t="s">
        <v>164</v>
      </c>
      <c r="O54" s="107">
        <v>-180000</v>
      </c>
      <c r="P54" s="95">
        <f t="shared" si="1"/>
        <v>2446329.7837041807</v>
      </c>
    </row>
    <row r="55" spans="8:16" x14ac:dyDescent="0.25">
      <c r="L55" s="99">
        <v>36</v>
      </c>
      <c r="M55" s="85">
        <v>56980</v>
      </c>
      <c r="N55" s="86" t="s">
        <v>165</v>
      </c>
      <c r="O55" s="107">
        <v>-180000</v>
      </c>
      <c r="P55" s="95">
        <f t="shared" si="1"/>
        <v>2413109.5707264319</v>
      </c>
    </row>
    <row r="56" spans="8:16" x14ac:dyDescent="0.25">
      <c r="H56" s="95"/>
      <c r="L56" s="107">
        <v>37</v>
      </c>
      <c r="M56" s="85">
        <v>57346</v>
      </c>
      <c r="N56" s="86" t="s">
        <v>166</v>
      </c>
      <c r="O56" s="107">
        <v>-180000</v>
      </c>
      <c r="P56" s="95">
        <f t="shared" si="1"/>
        <v>2377896.144970018</v>
      </c>
    </row>
    <row r="57" spans="8:16" x14ac:dyDescent="0.25">
      <c r="L57" s="107">
        <v>38</v>
      </c>
      <c r="M57" s="85">
        <v>57711</v>
      </c>
      <c r="N57" s="86" t="s">
        <v>167</v>
      </c>
      <c r="O57" s="107">
        <v>-180000</v>
      </c>
      <c r="P57" s="95">
        <f t="shared" si="1"/>
        <v>2340569.913668219</v>
      </c>
    </row>
    <row r="58" spans="8:16" x14ac:dyDescent="0.25">
      <c r="L58" s="107">
        <v>39</v>
      </c>
      <c r="M58" s="85">
        <v>58076</v>
      </c>
      <c r="N58" s="86" t="s">
        <v>168</v>
      </c>
      <c r="O58" s="107">
        <v>-180000</v>
      </c>
      <c r="P58" s="95">
        <f t="shared" si="1"/>
        <v>2301004.1084883125</v>
      </c>
    </row>
    <row r="59" spans="8:16" x14ac:dyDescent="0.25">
      <c r="L59" s="107">
        <v>40</v>
      </c>
      <c r="M59" s="85">
        <v>58441</v>
      </c>
      <c r="N59" s="86" t="s">
        <v>169</v>
      </c>
      <c r="O59" s="107">
        <v>-180000</v>
      </c>
      <c r="P59" s="95">
        <f t="shared" si="1"/>
        <v>2259064.3549976111</v>
      </c>
    </row>
    <row r="60" spans="8:16" x14ac:dyDescent="0.25">
      <c r="L60" s="107">
        <v>41</v>
      </c>
      <c r="M60" s="85">
        <v>58807</v>
      </c>
      <c r="N60" s="86" t="s">
        <v>170</v>
      </c>
      <c r="O60" s="107">
        <v>-180000</v>
      </c>
      <c r="P60" s="95">
        <f t="shared" si="1"/>
        <v>2214608.2162974677</v>
      </c>
    </row>
    <row r="61" spans="8:16" x14ac:dyDescent="0.25">
      <c r="L61" s="107">
        <v>42</v>
      </c>
      <c r="M61" s="85">
        <v>59172</v>
      </c>
      <c r="N61" s="86" t="s">
        <v>171</v>
      </c>
      <c r="O61" s="107">
        <v>-180000</v>
      </c>
      <c r="P61" s="95">
        <f t="shared" si="1"/>
        <v>2167484.709275316</v>
      </c>
    </row>
    <row r="62" spans="8:16" x14ac:dyDescent="0.25">
      <c r="L62" s="107">
        <v>43</v>
      </c>
      <c r="M62" s="85">
        <v>59537</v>
      </c>
      <c r="N62" s="86" t="s">
        <v>172</v>
      </c>
      <c r="O62" s="107">
        <v>-180000</v>
      </c>
      <c r="P62" s="95">
        <f t="shared" si="1"/>
        <v>2117533.7918318352</v>
      </c>
    </row>
    <row r="63" spans="8:16" x14ac:dyDescent="0.25">
      <c r="L63" s="107">
        <v>44</v>
      </c>
      <c r="M63" s="85">
        <v>59902</v>
      </c>
      <c r="N63" s="86" t="s">
        <v>173</v>
      </c>
      <c r="O63" s="107">
        <v>-180000</v>
      </c>
      <c r="P63" s="95">
        <f t="shared" si="1"/>
        <v>2064585.8193417452</v>
      </c>
    </row>
    <row r="64" spans="8:16" x14ac:dyDescent="0.25">
      <c r="L64" s="107">
        <v>45</v>
      </c>
      <c r="M64" s="85">
        <v>60268</v>
      </c>
      <c r="N64" s="86" t="s">
        <v>174</v>
      </c>
      <c r="O64" s="107">
        <v>-180000</v>
      </c>
      <c r="P64" s="95">
        <f t="shared" si="1"/>
        <v>2008460.96850225</v>
      </c>
    </row>
    <row r="65" spans="12:16" x14ac:dyDescent="0.25">
      <c r="L65" s="107">
        <v>46</v>
      </c>
      <c r="M65" s="85">
        <v>60633</v>
      </c>
      <c r="N65" s="86" t="s">
        <v>175</v>
      </c>
      <c r="O65" s="107">
        <v>-180000</v>
      </c>
      <c r="P65" s="95">
        <f t="shared" si="1"/>
        <v>1948968.6266123853</v>
      </c>
    </row>
    <row r="66" spans="12:16" x14ac:dyDescent="0.25">
      <c r="L66" s="107">
        <v>47</v>
      </c>
      <c r="M66" s="85">
        <v>60998</v>
      </c>
      <c r="N66" s="86" t="s">
        <v>176</v>
      </c>
      <c r="O66" s="107">
        <v>-180000</v>
      </c>
      <c r="P66" s="95">
        <f t="shared" si="1"/>
        <v>1885906.7442091284</v>
      </c>
    </row>
    <row r="67" spans="12:16" x14ac:dyDescent="0.25">
      <c r="L67" s="107">
        <v>48</v>
      </c>
      <c r="M67" s="85">
        <v>61363</v>
      </c>
      <c r="N67" s="86" t="s">
        <v>177</v>
      </c>
      <c r="O67" s="107">
        <v>-180000</v>
      </c>
      <c r="P67" s="95">
        <f t="shared" si="1"/>
        <v>1819061.1488616762</v>
      </c>
    </row>
    <row r="68" spans="12:16" x14ac:dyDescent="0.25">
      <c r="L68" s="107">
        <v>49</v>
      </c>
      <c r="M68" s="85">
        <v>61729</v>
      </c>
      <c r="N68" s="86" t="s">
        <v>178</v>
      </c>
      <c r="O68" s="107">
        <v>-180000</v>
      </c>
      <c r="P68" s="95">
        <f t="shared" si="1"/>
        <v>1748204.817793377</v>
      </c>
    </row>
    <row r="69" spans="12:16" x14ac:dyDescent="0.25">
      <c r="L69" s="107">
        <v>50</v>
      </c>
      <c r="M69" s="85">
        <v>62094</v>
      </c>
      <c r="N69" s="86" t="s">
        <v>179</v>
      </c>
      <c r="O69" s="107">
        <v>-180000</v>
      </c>
      <c r="P69" s="95">
        <f t="shared" si="1"/>
        <v>1673097.1068609797</v>
      </c>
    </row>
    <row r="70" spans="12:16" x14ac:dyDescent="0.25">
      <c r="L70" s="107">
        <v>51</v>
      </c>
      <c r="M70" s="85">
        <v>62459</v>
      </c>
      <c r="N70" s="86" t="s">
        <v>180</v>
      </c>
      <c r="O70" s="107">
        <v>-180000</v>
      </c>
      <c r="P70" s="95">
        <f t="shared" si="1"/>
        <v>1593482.9332726386</v>
      </c>
    </row>
    <row r="71" spans="12:16" x14ac:dyDescent="0.25">
      <c r="L71" s="107">
        <v>52</v>
      </c>
      <c r="M71" s="85">
        <v>62824</v>
      </c>
      <c r="N71" s="86" t="s">
        <v>181</v>
      </c>
      <c r="O71" s="107">
        <v>-180000</v>
      </c>
      <c r="P71" s="95">
        <f t="shared" si="1"/>
        <v>1509091.9092689969</v>
      </c>
    </row>
    <row r="72" spans="12:16" x14ac:dyDescent="0.25">
      <c r="L72" s="107">
        <v>53</v>
      </c>
      <c r="M72" s="85">
        <v>63190</v>
      </c>
      <c r="N72" s="86" t="s">
        <v>182</v>
      </c>
      <c r="O72" s="107">
        <v>-180000</v>
      </c>
      <c r="P72" s="95">
        <f t="shared" si="1"/>
        <v>1419637.4238251369</v>
      </c>
    </row>
    <row r="73" spans="12:16" x14ac:dyDescent="0.25">
      <c r="L73" s="107">
        <v>54</v>
      </c>
      <c r="M73" s="85">
        <v>63555</v>
      </c>
      <c r="N73" s="86" t="s">
        <v>183</v>
      </c>
      <c r="O73" s="107">
        <v>-180000</v>
      </c>
      <c r="P73" s="95">
        <f t="shared" si="1"/>
        <v>1324815.6692546452</v>
      </c>
    </row>
    <row r="74" spans="12:16" x14ac:dyDescent="0.25">
      <c r="L74" s="107">
        <v>55</v>
      </c>
      <c r="M74" s="85">
        <v>63920</v>
      </c>
      <c r="N74" s="86" t="s">
        <v>196</v>
      </c>
      <c r="O74" s="107">
        <v>-180000</v>
      </c>
      <c r="P74" s="95">
        <f t="shared" si="1"/>
        <v>1224304.6094099241</v>
      </c>
    </row>
    <row r="75" spans="12:16" x14ac:dyDescent="0.25">
      <c r="L75" s="107">
        <v>56</v>
      </c>
      <c r="M75" s="85">
        <v>64285</v>
      </c>
      <c r="N75" s="86" t="s">
        <v>197</v>
      </c>
      <c r="O75" s="107">
        <v>-180000</v>
      </c>
      <c r="P75" s="95">
        <f t="shared" si="1"/>
        <v>1117762.8859745197</v>
      </c>
    </row>
    <row r="76" spans="12:16" x14ac:dyDescent="0.25">
      <c r="L76" s="107">
        <v>57</v>
      </c>
      <c r="M76" s="85">
        <v>64651</v>
      </c>
      <c r="N76" s="86" t="s">
        <v>198</v>
      </c>
      <c r="O76" s="107">
        <v>-180000</v>
      </c>
      <c r="P76" s="95">
        <f t="shared" si="1"/>
        <v>1004828.659132991</v>
      </c>
    </row>
    <row r="77" spans="12:16" x14ac:dyDescent="0.25">
      <c r="L77" s="107">
        <v>58</v>
      </c>
      <c r="M77" s="85">
        <v>65016</v>
      </c>
      <c r="N77" s="86" t="s">
        <v>199</v>
      </c>
      <c r="O77" s="107">
        <v>-180000</v>
      </c>
      <c r="P77" s="95">
        <f t="shared" si="1"/>
        <v>885118.37868097052</v>
      </c>
    </row>
    <row r="78" spans="12:16" x14ac:dyDescent="0.25">
      <c r="L78" s="107">
        <v>59</v>
      </c>
      <c r="M78" s="85">
        <v>65381</v>
      </c>
      <c r="N78" s="86" t="s">
        <v>200</v>
      </c>
      <c r="O78" s="107">
        <v>-180000</v>
      </c>
      <c r="P78" s="95">
        <f t="shared" si="1"/>
        <v>758225.48140182882</v>
      </c>
    </row>
    <row r="79" spans="12:16" x14ac:dyDescent="0.25">
      <c r="L79" s="107">
        <v>60</v>
      </c>
      <c r="M79" s="85">
        <v>65746</v>
      </c>
      <c r="N79" s="86" t="s">
        <v>256</v>
      </c>
      <c r="O79" s="107">
        <v>-180000</v>
      </c>
      <c r="P79" s="95">
        <f t="shared" ref="P79:P83" si="2">O79+(P78*(1+$H$17))</f>
        <v>623719.01028593862</v>
      </c>
    </row>
    <row r="80" spans="12:16" x14ac:dyDescent="0.25">
      <c r="L80" s="107">
        <v>61</v>
      </c>
      <c r="M80" s="85">
        <v>66112</v>
      </c>
      <c r="N80" s="86" t="s">
        <v>257</v>
      </c>
      <c r="O80" s="107">
        <v>-180000</v>
      </c>
      <c r="P80" s="95">
        <f t="shared" si="2"/>
        <v>481142.15090309503</v>
      </c>
    </row>
    <row r="81" spans="12:16" x14ac:dyDescent="0.25">
      <c r="L81" s="107">
        <v>62</v>
      </c>
      <c r="M81" s="85">
        <v>66477</v>
      </c>
      <c r="N81" s="86" t="s">
        <v>258</v>
      </c>
      <c r="O81" s="107">
        <v>-180000</v>
      </c>
      <c r="P81" s="95">
        <f t="shared" si="2"/>
        <v>330010.67995728075</v>
      </c>
    </row>
    <row r="82" spans="12:16" x14ac:dyDescent="0.25">
      <c r="L82" s="107">
        <v>63</v>
      </c>
      <c r="M82" s="85">
        <v>66842</v>
      </c>
      <c r="N82" s="86" t="s">
        <v>259</v>
      </c>
      <c r="O82" s="107">
        <v>-180000</v>
      </c>
      <c r="P82" s="95">
        <f t="shared" si="2"/>
        <v>169811.32075471763</v>
      </c>
    </row>
    <row r="83" spans="12:16" x14ac:dyDescent="0.25">
      <c r="L83" s="107">
        <v>64</v>
      </c>
      <c r="M83" s="85">
        <v>67207</v>
      </c>
      <c r="N83" s="86" t="s">
        <v>260</v>
      </c>
      <c r="O83" s="107">
        <v>-180000</v>
      </c>
      <c r="P83" s="95">
        <f t="shared" si="2"/>
        <v>6.9849193096160889E-10</v>
      </c>
    </row>
    <row r="84" spans="12:16" x14ac:dyDescent="0.25">
      <c r="M84" s="85"/>
      <c r="O84" s="95"/>
      <c r="P84" s="95"/>
    </row>
    <row r="85" spans="12:16" x14ac:dyDescent="0.25">
      <c r="M85" s="85"/>
      <c r="O85" s="95"/>
      <c r="P85" s="95"/>
    </row>
    <row r="86" spans="12:16" x14ac:dyDescent="0.25">
      <c r="M86" s="85"/>
      <c r="O86" s="95"/>
      <c r="P86" s="95"/>
    </row>
  </sheetData>
  <mergeCells count="2">
    <mergeCell ref="B19:K19"/>
    <mergeCell ref="D26:H26"/>
  </mergeCells>
  <phoneticPr fontId="17" type="noConversion"/>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K30"/>
  <sheetViews>
    <sheetView showGridLines="0" zoomScale="145" zoomScaleNormal="145" workbookViewId="0">
      <selection activeCell="F9" sqref="F9"/>
    </sheetView>
  </sheetViews>
  <sheetFormatPr defaultColWidth="9.140625" defaultRowHeight="15" x14ac:dyDescent="0.25"/>
  <cols>
    <col min="1" max="1" width="4.28515625" style="107" customWidth="1"/>
    <col min="2" max="5" width="9.140625" style="107"/>
    <col min="6" max="6" width="13.28515625" style="107" bestFit="1" customWidth="1"/>
    <col min="7" max="7" width="12" style="107" customWidth="1"/>
    <col min="8" max="8" width="12.140625" style="107" customWidth="1"/>
    <col min="9" max="9" width="14.140625" style="107" customWidth="1"/>
    <col min="10" max="16384" width="9.140625" style="107"/>
  </cols>
  <sheetData>
    <row r="2" spans="2:11" x14ac:dyDescent="0.25">
      <c r="B2" s="100" t="s">
        <v>214</v>
      </c>
    </row>
    <row r="4" spans="2:11" x14ac:dyDescent="0.25">
      <c r="B4" s="100" t="s">
        <v>60</v>
      </c>
    </row>
    <row r="5" spans="2:11" s="100" customFormat="1" x14ac:dyDescent="0.25">
      <c r="B5" s="7" t="s">
        <v>8</v>
      </c>
      <c r="F5" s="108">
        <v>365000</v>
      </c>
    </row>
    <row r="6" spans="2:11" s="100" customFormat="1" x14ac:dyDescent="0.25">
      <c r="B6" s="7" t="s">
        <v>215</v>
      </c>
      <c r="F6" s="109">
        <v>4</v>
      </c>
    </row>
    <row r="7" spans="2:11" s="100" customFormat="1" x14ac:dyDescent="0.25">
      <c r="B7" s="7" t="s">
        <v>9</v>
      </c>
      <c r="F7" s="110">
        <v>5.5E-2</v>
      </c>
    </row>
    <row r="8" spans="2:11" s="100" customFormat="1" x14ac:dyDescent="0.25">
      <c r="B8" s="7"/>
      <c r="F8" s="111"/>
    </row>
    <row r="9" spans="2:11" s="100" customFormat="1" x14ac:dyDescent="0.25">
      <c r="B9" s="7" t="s">
        <v>216</v>
      </c>
      <c r="F9" s="112">
        <v>14</v>
      </c>
    </row>
    <row r="10" spans="2:11" s="100" customFormat="1" x14ac:dyDescent="0.25">
      <c r="B10" s="7"/>
    </row>
    <row r="11" spans="2:11" x14ac:dyDescent="0.25">
      <c r="B11" s="113" t="s">
        <v>217</v>
      </c>
    </row>
    <row r="12" spans="2:11" x14ac:dyDescent="0.25">
      <c r="B12" s="113" t="s">
        <v>218</v>
      </c>
    </row>
    <row r="13" spans="2:11" x14ac:dyDescent="0.25">
      <c r="B13" s="113" t="s">
        <v>219</v>
      </c>
    </row>
    <row r="14" spans="2:11" x14ac:dyDescent="0.25">
      <c r="B14" s="113" t="s">
        <v>220</v>
      </c>
    </row>
    <row r="15" spans="2:11" ht="15.75" thickBot="1" x14ac:dyDescent="0.3"/>
    <row r="16" spans="2:11" ht="15.75" thickBot="1" x14ac:dyDescent="0.3">
      <c r="B16" s="149" t="s">
        <v>221</v>
      </c>
      <c r="C16" s="149"/>
      <c r="D16" s="149"/>
      <c r="E16" s="149"/>
      <c r="F16" s="149"/>
      <c r="G16" s="149"/>
      <c r="H16" s="149"/>
      <c r="I16" s="149"/>
      <c r="J16" s="149"/>
      <c r="K16" s="149"/>
    </row>
    <row r="18" spans="2:11" x14ac:dyDescent="0.25">
      <c r="B18" s="114" t="s">
        <v>222</v>
      </c>
    </row>
    <row r="19" spans="2:11" ht="15.75" thickBot="1" x14ac:dyDescent="0.3"/>
    <row r="20" spans="2:11" ht="15.75" thickBot="1" x14ac:dyDescent="0.3">
      <c r="C20" s="100" t="s">
        <v>223</v>
      </c>
      <c r="I20" s="48">
        <f>PMT(F7/12,F6*12,-F5)</f>
        <v>8488.6134579437658</v>
      </c>
    </row>
    <row r="21" spans="2:11" ht="15.75" thickBot="1" x14ac:dyDescent="0.3">
      <c r="C21" s="100" t="s">
        <v>224</v>
      </c>
      <c r="I21" s="48">
        <f>(PV(F7/12,F6*12-F9+1,-I20))*F7/12</f>
        <v>1255.4570801727505</v>
      </c>
    </row>
    <row r="22" spans="2:11" ht="15.75" thickBot="1" x14ac:dyDescent="0.3">
      <c r="C22" s="100" t="s">
        <v>225</v>
      </c>
      <c r="I22" s="48">
        <f>I20-I21</f>
        <v>7233.1563777710153</v>
      </c>
    </row>
    <row r="23" spans="2:11" ht="15.75" thickBot="1" x14ac:dyDescent="0.3">
      <c r="C23" s="100" t="s">
        <v>226</v>
      </c>
      <c r="I23" s="48">
        <f>(PV(F7/12,F6*12-F9+1,-I20))-I22</f>
        <v>266684.75202355639</v>
      </c>
    </row>
    <row r="24" spans="2:11" ht="15.75" thickBot="1" x14ac:dyDescent="0.3"/>
    <row r="25" spans="2:11" ht="15.75" thickBot="1" x14ac:dyDescent="0.3">
      <c r="B25" s="149" t="s">
        <v>109</v>
      </c>
      <c r="C25" s="149"/>
      <c r="D25" s="149"/>
      <c r="E25" s="149"/>
      <c r="F25" s="149"/>
      <c r="G25" s="149"/>
      <c r="H25" s="149"/>
      <c r="I25" s="149"/>
      <c r="J25" s="149"/>
      <c r="K25" s="149"/>
    </row>
    <row r="27" spans="2:11" x14ac:dyDescent="0.25">
      <c r="C27" s="107" t="s">
        <v>227</v>
      </c>
      <c r="I27" s="95">
        <f>PV(F7/12,F6*12-F9+1,-I20)</f>
        <v>273917.90840132738</v>
      </c>
    </row>
    <row r="28" spans="2:11" x14ac:dyDescent="0.25">
      <c r="C28" s="107" t="s">
        <v>228</v>
      </c>
      <c r="I28" s="95">
        <f>I27*F7/12</f>
        <v>1255.4570801727505</v>
      </c>
    </row>
    <row r="29" spans="2:11" x14ac:dyDescent="0.25">
      <c r="C29" s="107" t="s">
        <v>229</v>
      </c>
      <c r="I29" s="95">
        <f>I20-I28</f>
        <v>7233.1563777710153</v>
      </c>
    </row>
    <row r="30" spans="2:11" x14ac:dyDescent="0.25">
      <c r="C30" s="107" t="s">
        <v>230</v>
      </c>
      <c r="I30" s="95">
        <f>I27-I29</f>
        <v>266684.75202355639</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O127"/>
  <sheetViews>
    <sheetView showGridLines="0" zoomScale="115" zoomScaleNormal="115" workbookViewId="0"/>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2.28515625" bestFit="1" customWidth="1"/>
    <col min="7" max="7" width="11.5703125" customWidth="1"/>
    <col min="8" max="8" width="12.28515625" bestFit="1" customWidth="1"/>
    <col min="10" max="14" width="12.7109375" customWidth="1"/>
    <col min="15" max="15" width="11.7109375" bestFit="1" customWidth="1"/>
  </cols>
  <sheetData>
    <row r="2" spans="2:8" ht="23.25" x14ac:dyDescent="0.35">
      <c r="B2" s="1" t="s">
        <v>97</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7" t="s">
        <v>2</v>
      </c>
    </row>
    <row r="12" spans="2:8" ht="14.65" customHeight="1" x14ac:dyDescent="0.25">
      <c r="C12" s="107" t="s">
        <v>90</v>
      </c>
    </row>
    <row r="13" spans="2:8" ht="14.65" customHeight="1" x14ac:dyDescent="0.25">
      <c r="C13" s="107" t="s">
        <v>291</v>
      </c>
    </row>
    <row r="14" spans="2:8" ht="14.65" customHeight="1" x14ac:dyDescent="0.25">
      <c r="C14" s="107" t="s">
        <v>98</v>
      </c>
    </row>
    <row r="15" spans="2:8" ht="15.75" thickBot="1" x14ac:dyDescent="0.3"/>
    <row r="16" spans="2:8" ht="15.75" thickBot="1" x14ac:dyDescent="0.3">
      <c r="D16" s="60" t="s">
        <v>89</v>
      </c>
      <c r="E16" s="61" t="s">
        <v>4</v>
      </c>
      <c r="F16" s="58"/>
    </row>
    <row r="17" spans="3:10" x14ac:dyDescent="0.25">
      <c r="D17" s="62">
        <v>1</v>
      </c>
      <c r="E17" s="134">
        <v>0</v>
      </c>
      <c r="F17" s="107"/>
      <c r="G17" s="136"/>
    </row>
    <row r="18" spans="3:10" x14ac:dyDescent="0.25">
      <c r="D18" s="63">
        <v>2</v>
      </c>
      <c r="E18" s="134">
        <v>0</v>
      </c>
      <c r="F18" s="107"/>
      <c r="G18" s="136"/>
    </row>
    <row r="19" spans="3:10" x14ac:dyDescent="0.25">
      <c r="D19" s="63">
        <v>3</v>
      </c>
      <c r="E19" s="134">
        <v>0</v>
      </c>
      <c r="F19" s="107"/>
      <c r="G19" s="136"/>
      <c r="H19" s="115"/>
    </row>
    <row r="20" spans="3:10" x14ac:dyDescent="0.25">
      <c r="D20" s="63">
        <v>4</v>
      </c>
      <c r="E20" s="134">
        <v>0</v>
      </c>
      <c r="F20" s="107"/>
      <c r="G20" s="136"/>
      <c r="H20" s="115"/>
    </row>
    <row r="21" spans="3:10" x14ac:dyDescent="0.25">
      <c r="D21" s="63">
        <v>5</v>
      </c>
      <c r="E21" s="135">
        <v>6250</v>
      </c>
      <c r="F21" s="107" t="s">
        <v>5</v>
      </c>
      <c r="G21" s="136"/>
      <c r="H21" s="115"/>
      <c r="J21" s="115"/>
    </row>
    <row r="22" spans="3:10" x14ac:dyDescent="0.25">
      <c r="D22" s="63">
        <v>6</v>
      </c>
      <c r="E22" s="134">
        <f t="shared" ref="E22:E25" si="0">E21</f>
        <v>6250</v>
      </c>
      <c r="F22" s="107"/>
      <c r="G22" s="136"/>
      <c r="H22" s="115"/>
      <c r="J22" s="115"/>
    </row>
    <row r="23" spans="3:10" x14ac:dyDescent="0.25">
      <c r="D23" s="63">
        <v>7</v>
      </c>
      <c r="E23" s="134">
        <f t="shared" si="0"/>
        <v>6250</v>
      </c>
      <c r="F23" s="107"/>
      <c r="G23" s="136"/>
      <c r="H23" s="115"/>
      <c r="J23" s="115"/>
    </row>
    <row r="24" spans="3:10" x14ac:dyDescent="0.25">
      <c r="D24" s="63">
        <v>8</v>
      </c>
      <c r="E24" s="134">
        <f t="shared" si="0"/>
        <v>6250</v>
      </c>
      <c r="F24" s="107"/>
      <c r="G24" s="136"/>
      <c r="H24" s="115"/>
      <c r="J24" s="115"/>
    </row>
    <row r="25" spans="3:10" ht="15.75" thickBot="1" x14ac:dyDescent="0.3">
      <c r="D25" s="64">
        <v>9</v>
      </c>
      <c r="E25" s="134">
        <f t="shared" si="0"/>
        <v>6250</v>
      </c>
      <c r="F25" s="107"/>
      <c r="G25" s="136"/>
      <c r="H25" s="115"/>
      <c r="J25" s="115"/>
    </row>
    <row r="26" spans="3:10" s="57" customFormat="1" ht="15.75" thickBot="1" x14ac:dyDescent="0.3">
      <c r="D26" s="59">
        <v>10</v>
      </c>
      <c r="E26" s="91">
        <v>4250</v>
      </c>
      <c r="F26" s="107" t="s">
        <v>5</v>
      </c>
      <c r="G26" s="136"/>
      <c r="H26" s="115"/>
      <c r="J26" s="115"/>
    </row>
    <row r="27" spans="3:10" x14ac:dyDescent="0.25">
      <c r="J27" s="115"/>
    </row>
    <row r="28" spans="3:10" x14ac:dyDescent="0.25">
      <c r="C28" t="s">
        <v>91</v>
      </c>
      <c r="E28" s="3">
        <v>8.5000000000000006E-2</v>
      </c>
      <c r="I28" s="4"/>
    </row>
    <row r="30" spans="3:10" x14ac:dyDescent="0.25">
      <c r="C30" t="s">
        <v>92</v>
      </c>
    </row>
    <row r="31" spans="3:10" x14ac:dyDescent="0.25">
      <c r="C31" t="s">
        <v>93</v>
      </c>
    </row>
    <row r="32" spans="3:10" x14ac:dyDescent="0.25">
      <c r="C32" s="65" t="s">
        <v>231</v>
      </c>
    </row>
    <row r="33" spans="2:8" ht="15.75" thickBot="1" x14ac:dyDescent="0.3"/>
    <row r="34" spans="2:8" ht="15.75" thickBot="1" x14ac:dyDescent="0.3">
      <c r="C34" t="s">
        <v>94</v>
      </c>
      <c r="D34" s="150">
        <f>PV(E28,4,0,PV(E28,6,E21,E26-E21))</f>
        <v>19651.375436915765</v>
      </c>
      <c r="E34" s="151"/>
    </row>
    <row r="36" spans="2:8" x14ac:dyDescent="0.25">
      <c r="B36" s="69" t="s">
        <v>1</v>
      </c>
      <c r="C36" s="66" t="s">
        <v>114</v>
      </c>
      <c r="D36" s="66"/>
      <c r="E36" s="66"/>
      <c r="F36" s="66"/>
      <c r="G36" s="66"/>
      <c r="H36" s="66"/>
    </row>
    <row r="37" spans="2:8" s="65" customFormat="1" x14ac:dyDescent="0.25">
      <c r="B37" s="66"/>
      <c r="C37" s="71" t="s">
        <v>115</v>
      </c>
      <c r="D37" s="66"/>
      <c r="E37" s="66"/>
      <c r="F37" s="66"/>
      <c r="G37" s="66"/>
      <c r="H37" s="66"/>
    </row>
    <row r="38" spans="2:8" s="65" customFormat="1" x14ac:dyDescent="0.25">
      <c r="B38" s="66"/>
      <c r="C38" s="71" t="s">
        <v>241</v>
      </c>
      <c r="D38" s="66"/>
      <c r="E38" s="66"/>
      <c r="F38" s="66"/>
      <c r="G38" s="66"/>
      <c r="H38" s="66"/>
    </row>
    <row r="39" spans="2:8" s="65" customFormat="1" ht="15.75" thickBot="1" x14ac:dyDescent="0.3">
      <c r="B39" s="66"/>
      <c r="C39" s="66"/>
      <c r="D39" s="66"/>
      <c r="E39" s="66"/>
      <c r="F39" s="66"/>
      <c r="G39" s="66"/>
      <c r="H39" s="66"/>
    </row>
    <row r="40" spans="2:8" s="65" customFormat="1" ht="15.75" thickBot="1" x14ac:dyDescent="0.3">
      <c r="B40" s="66"/>
      <c r="C40" s="72" t="s">
        <v>116</v>
      </c>
      <c r="D40" s="66"/>
      <c r="E40" s="66"/>
      <c r="F40" s="73">
        <v>8.7499999999999994E-2</v>
      </c>
      <c r="G40" s="66"/>
      <c r="H40" s="66"/>
    </row>
    <row r="41" spans="2:8" s="65" customFormat="1" ht="15.75" thickBot="1" x14ac:dyDescent="0.3">
      <c r="B41" s="66"/>
      <c r="C41" s="66"/>
      <c r="D41" s="66"/>
      <c r="E41" s="67"/>
      <c r="F41" s="67"/>
      <c r="G41" s="66"/>
      <c r="H41" s="66"/>
    </row>
    <row r="42" spans="2:8" s="65" customFormat="1" ht="45.75" thickBot="1" x14ac:dyDescent="0.3">
      <c r="B42" s="66"/>
      <c r="C42" s="66"/>
      <c r="D42" s="66"/>
      <c r="E42" s="75" t="s">
        <v>117</v>
      </c>
      <c r="F42" s="75" t="s">
        <v>118</v>
      </c>
      <c r="G42" s="66"/>
      <c r="H42" s="66"/>
    </row>
    <row r="43" spans="2:8" s="65" customFormat="1" x14ac:dyDescent="0.25">
      <c r="B43" s="66"/>
      <c r="C43" s="66"/>
      <c r="D43" s="66"/>
      <c r="E43" s="68" t="s">
        <v>78</v>
      </c>
      <c r="F43" s="74">
        <f>FV(F40/4,4,0,-1)-1</f>
        <v>9.0413192844391199E-2</v>
      </c>
      <c r="G43" s="66"/>
      <c r="H43" s="66"/>
    </row>
    <row r="44" spans="2:8" s="65" customFormat="1" x14ac:dyDescent="0.25">
      <c r="B44" s="66"/>
      <c r="C44" s="66"/>
      <c r="D44" s="66"/>
      <c r="E44" s="68" t="s">
        <v>79</v>
      </c>
      <c r="F44" s="74">
        <f>FV(F40/12,12,0,-1)-1</f>
        <v>9.1095821332897842E-2</v>
      </c>
      <c r="G44" s="66"/>
      <c r="H44" s="66"/>
    </row>
    <row r="45" spans="2:8" s="65" customFormat="1" ht="15.75" thickBot="1" x14ac:dyDescent="0.3">
      <c r="B45" s="66"/>
      <c r="C45" s="66"/>
      <c r="D45" s="66"/>
      <c r="E45" s="68" t="s">
        <v>119</v>
      </c>
      <c r="F45" s="74">
        <f>FV(F40/365,365,0,-1)-1</f>
        <v>9.1430819270617691E-2</v>
      </c>
      <c r="G45" s="66"/>
      <c r="H45" s="66"/>
    </row>
    <row r="46" spans="2:8" s="65" customFormat="1" ht="15.75" thickBot="1" x14ac:dyDescent="0.3">
      <c r="B46" s="66"/>
      <c r="C46" s="66"/>
      <c r="D46" s="66"/>
      <c r="E46" s="76" t="s">
        <v>120</v>
      </c>
      <c r="F46" s="70">
        <f>EXP(F40)-1</f>
        <v>9.1442264442951782E-2</v>
      </c>
      <c r="G46" s="66"/>
      <c r="H46" s="66"/>
    </row>
    <row r="47" spans="2:8" s="65" customFormat="1" x14ac:dyDescent="0.25"/>
    <row r="48" spans="2:8" s="65" customFormat="1" x14ac:dyDescent="0.25"/>
    <row r="49" spans="2:7" x14ac:dyDescent="0.25">
      <c r="B49" s="55" t="s">
        <v>6</v>
      </c>
      <c r="C49" t="s">
        <v>75</v>
      </c>
    </row>
    <row r="50" spans="2:7" s="89" customFormat="1" ht="15.75" thickBot="1" x14ac:dyDescent="0.3">
      <c r="B50" s="90"/>
    </row>
    <row r="51" spans="2:7" s="107" customFormat="1" ht="15.75" thickBot="1" x14ac:dyDescent="0.3">
      <c r="B51" s="90"/>
      <c r="D51" s="60" t="s">
        <v>89</v>
      </c>
      <c r="E51" s="61" t="s">
        <v>4</v>
      </c>
    </row>
    <row r="52" spans="2:7" s="107" customFormat="1" x14ac:dyDescent="0.25">
      <c r="B52" s="90"/>
      <c r="D52" s="116">
        <v>0</v>
      </c>
      <c r="E52" s="117">
        <v>3000</v>
      </c>
      <c r="G52" s="120"/>
    </row>
    <row r="53" spans="2:7" s="107" customFormat="1" x14ac:dyDescent="0.25">
      <c r="B53" s="90"/>
      <c r="D53" s="63">
        <v>1</v>
      </c>
      <c r="E53" s="92">
        <v>1500</v>
      </c>
      <c r="G53" s="120"/>
    </row>
    <row r="54" spans="2:7" s="107" customFormat="1" x14ac:dyDescent="0.25">
      <c r="B54" s="90"/>
      <c r="D54" s="63">
        <v>2</v>
      </c>
      <c r="E54" s="92">
        <v>1500</v>
      </c>
      <c r="G54" s="120"/>
    </row>
    <row r="55" spans="2:7" s="107" customFormat="1" x14ac:dyDescent="0.25">
      <c r="B55" s="90"/>
      <c r="D55" s="63">
        <v>3</v>
      </c>
      <c r="E55" s="119" t="s">
        <v>242</v>
      </c>
      <c r="G55" s="120"/>
    </row>
    <row r="56" spans="2:7" s="107" customFormat="1" x14ac:dyDescent="0.25">
      <c r="B56" s="90"/>
      <c r="D56" s="63">
        <v>4</v>
      </c>
      <c r="E56" s="119" t="s">
        <v>242</v>
      </c>
      <c r="G56" s="120"/>
    </row>
    <row r="57" spans="2:7" s="107" customFormat="1" x14ac:dyDescent="0.25">
      <c r="B57" s="90"/>
      <c r="D57" s="63">
        <v>5</v>
      </c>
      <c r="E57" s="119" t="s">
        <v>242</v>
      </c>
      <c r="G57" s="120"/>
    </row>
    <row r="58" spans="2:7" s="107" customFormat="1" x14ac:dyDescent="0.25">
      <c r="B58" s="90"/>
      <c r="D58" s="63">
        <v>6</v>
      </c>
      <c r="E58" s="119" t="s">
        <v>242</v>
      </c>
      <c r="G58" s="120"/>
    </row>
    <row r="59" spans="2:7" s="107" customFormat="1" x14ac:dyDescent="0.25">
      <c r="B59" s="90"/>
      <c r="D59" s="63">
        <v>7</v>
      </c>
      <c r="E59" s="119">
        <v>2500</v>
      </c>
      <c r="G59" s="120"/>
    </row>
    <row r="60" spans="2:7" s="107" customFormat="1" x14ac:dyDescent="0.25">
      <c r="B60" s="90"/>
      <c r="D60" s="63">
        <v>8</v>
      </c>
      <c r="E60" s="119">
        <v>2500</v>
      </c>
      <c r="G60" s="120"/>
    </row>
    <row r="61" spans="2:7" s="107" customFormat="1" x14ac:dyDescent="0.25">
      <c r="B61" s="90"/>
      <c r="D61" s="63">
        <v>9</v>
      </c>
      <c r="E61" s="119">
        <v>2500</v>
      </c>
      <c r="G61" s="120"/>
    </row>
    <row r="62" spans="2:7" s="107" customFormat="1" x14ac:dyDescent="0.25">
      <c r="B62" s="90"/>
      <c r="D62" s="63">
        <v>10</v>
      </c>
      <c r="E62" s="92">
        <v>1500</v>
      </c>
      <c r="G62" s="120"/>
    </row>
    <row r="63" spans="2:7" s="107" customFormat="1" x14ac:dyDescent="0.25">
      <c r="B63" s="90"/>
      <c r="D63" s="137" t="s">
        <v>302</v>
      </c>
      <c r="E63" s="138">
        <v>0.08</v>
      </c>
      <c r="G63" s="120"/>
    </row>
    <row r="64" spans="2:7" s="107" customFormat="1" ht="15.75" thickBot="1" x14ac:dyDescent="0.3">
      <c r="B64" s="90"/>
      <c r="D64" s="139" t="s">
        <v>303</v>
      </c>
      <c r="E64" s="118">
        <v>18000</v>
      </c>
      <c r="G64" s="120"/>
    </row>
    <row r="65" spans="2:15" x14ac:dyDescent="0.25">
      <c r="C65" s="107" t="s">
        <v>276</v>
      </c>
      <c r="D65" s="107"/>
      <c r="E65" s="107"/>
      <c r="F65" s="107"/>
    </row>
    <row r="66" spans="2:15" ht="14.65" customHeight="1" x14ac:dyDescent="0.25">
      <c r="C66" s="107" t="s">
        <v>278</v>
      </c>
      <c r="D66" s="107"/>
      <c r="E66" s="107"/>
      <c r="F66" s="107"/>
    </row>
    <row r="67" spans="2:15" x14ac:dyDescent="0.25">
      <c r="C67" s="107" t="s">
        <v>76</v>
      </c>
      <c r="D67" s="107"/>
      <c r="E67" s="107"/>
      <c r="F67" s="107"/>
      <c r="L67" s="4"/>
    </row>
    <row r="68" spans="2:15" x14ac:dyDescent="0.25">
      <c r="C68" s="107" t="s">
        <v>253</v>
      </c>
      <c r="D68" s="107"/>
      <c r="E68" s="107"/>
      <c r="F68" s="107"/>
    </row>
    <row r="69" spans="2:15" s="107" customFormat="1" x14ac:dyDescent="0.25">
      <c r="C69" s="107" t="s">
        <v>304</v>
      </c>
    </row>
    <row r="70" spans="2:15" s="107" customFormat="1" ht="15.75" thickBot="1" x14ac:dyDescent="0.3"/>
    <row r="71" spans="2:15" s="77" customFormat="1" x14ac:dyDescent="0.25">
      <c r="C71" s="107"/>
      <c r="D71" s="107" t="s">
        <v>252</v>
      </c>
      <c r="E71" s="107"/>
      <c r="F71" s="140">
        <f>E52+PV(E63,D53,0,-E53)+PV(E63,D54,0,-E54)+PV(E63,D59,0,-E59)+PV(E63,D60,0,-E60)+PV(E63,D61,0,-E61)+PV(E63,D62,0,-E62)</f>
        <v>10429.707968707513</v>
      </c>
      <c r="O71" s="95"/>
    </row>
    <row r="72" spans="2:15" x14ac:dyDescent="0.25">
      <c r="C72" s="107"/>
      <c r="D72" s="107" t="s">
        <v>95</v>
      </c>
      <c r="E72" s="107"/>
      <c r="F72" s="141">
        <f>E64-F71</f>
        <v>7570.2920312924871</v>
      </c>
      <c r="J72" s="93"/>
      <c r="K72" s="93"/>
      <c r="L72" s="94"/>
      <c r="N72" s="77"/>
      <c r="O72" s="95"/>
    </row>
    <row r="73" spans="2:15" x14ac:dyDescent="0.25">
      <c r="C73" s="107"/>
      <c r="D73" s="107" t="s">
        <v>277</v>
      </c>
      <c r="E73" s="107"/>
      <c r="F73" s="142">
        <f>-FV(E63,D54,0,F72)</f>
        <v>8829.9886252995584</v>
      </c>
      <c r="J73" s="93"/>
      <c r="K73" s="93"/>
      <c r="L73" s="94"/>
      <c r="O73" s="107"/>
    </row>
    <row r="74" spans="2:15" ht="15.75" thickBot="1" x14ac:dyDescent="0.3">
      <c r="C74" s="107"/>
      <c r="D74" s="107" t="s">
        <v>96</v>
      </c>
      <c r="E74" s="107"/>
      <c r="F74" s="143">
        <f>-PMT(E63,4,F73)</f>
        <v>2665.9572690704599</v>
      </c>
      <c r="G74" s="90" t="s">
        <v>305</v>
      </c>
      <c r="J74" s="93"/>
      <c r="K74" s="93"/>
      <c r="L74" s="94"/>
      <c r="O74" s="107"/>
    </row>
    <row r="75" spans="2:15" x14ac:dyDescent="0.25">
      <c r="F75" s="40"/>
      <c r="O75" s="95"/>
    </row>
    <row r="76" spans="2:15" x14ac:dyDescent="0.25">
      <c r="B76" s="55" t="s">
        <v>7</v>
      </c>
      <c r="C76" s="107" t="s">
        <v>20</v>
      </c>
    </row>
    <row r="77" spans="2:15" ht="17.25" x14ac:dyDescent="0.4">
      <c r="C77" s="107" t="s">
        <v>307</v>
      </c>
      <c r="I77" s="18" t="s">
        <v>3</v>
      </c>
      <c r="J77" s="18" t="s">
        <v>17</v>
      </c>
      <c r="K77" s="18" t="s">
        <v>18</v>
      </c>
      <c r="L77" s="18" t="s">
        <v>28</v>
      </c>
      <c r="M77" s="18" t="s">
        <v>19</v>
      </c>
      <c r="N77" s="18"/>
    </row>
    <row r="78" spans="2:15" x14ac:dyDescent="0.25">
      <c r="C78" s="107" t="s">
        <v>243</v>
      </c>
      <c r="I78" s="17">
        <v>1</v>
      </c>
      <c r="J78">
        <v>2500</v>
      </c>
      <c r="K78">
        <v>1800</v>
      </c>
      <c r="L78">
        <v>300</v>
      </c>
      <c r="M78">
        <v>125</v>
      </c>
    </row>
    <row r="79" spans="2:15" ht="15.75" thickBot="1" x14ac:dyDescent="0.3">
      <c r="I79" s="17">
        <v>2</v>
      </c>
      <c r="J79">
        <v>3000</v>
      </c>
      <c r="K79">
        <v>2200</v>
      </c>
      <c r="L79">
        <v>315</v>
      </c>
      <c r="M79">
        <v>150</v>
      </c>
    </row>
    <row r="80" spans="2:15" ht="15.75" thickBot="1" x14ac:dyDescent="0.3">
      <c r="C80" s="7" t="s">
        <v>21</v>
      </c>
      <c r="E80" s="19">
        <v>7</v>
      </c>
      <c r="I80" s="17">
        <v>3</v>
      </c>
      <c r="J80">
        <v>3250</v>
      </c>
      <c r="K80">
        <v>2400</v>
      </c>
      <c r="L80">
        <v>325</v>
      </c>
      <c r="M80">
        <v>162</v>
      </c>
    </row>
    <row r="81" spans="2:13" ht="15.75" thickBot="1" x14ac:dyDescent="0.3">
      <c r="C81" s="16"/>
      <c r="I81" s="17">
        <v>4</v>
      </c>
      <c r="J81">
        <v>4000</v>
      </c>
      <c r="K81">
        <v>3100</v>
      </c>
      <c r="L81">
        <v>400</v>
      </c>
      <c r="M81">
        <v>200</v>
      </c>
    </row>
    <row r="82" spans="2:13" ht="15.75" thickBot="1" x14ac:dyDescent="0.3">
      <c r="C82" s="101" t="s">
        <v>19</v>
      </c>
      <c r="E82" s="20">
        <f>VLOOKUP(E80,I78:M87,5)</f>
        <v>295</v>
      </c>
      <c r="I82" s="17">
        <v>5</v>
      </c>
      <c r="J82">
        <v>4500</v>
      </c>
      <c r="K82">
        <v>3300</v>
      </c>
      <c r="L82">
        <v>430</v>
      </c>
      <c r="M82">
        <v>225</v>
      </c>
    </row>
    <row r="83" spans="2:13" x14ac:dyDescent="0.25">
      <c r="I83" s="17">
        <v>6</v>
      </c>
      <c r="J83">
        <v>5200</v>
      </c>
      <c r="K83">
        <v>3900</v>
      </c>
      <c r="L83">
        <v>450</v>
      </c>
      <c r="M83">
        <v>260</v>
      </c>
    </row>
    <row r="84" spans="2:13" x14ac:dyDescent="0.25">
      <c r="I84" s="17">
        <v>7</v>
      </c>
      <c r="J84">
        <v>5900</v>
      </c>
      <c r="K84">
        <v>4400</v>
      </c>
      <c r="L84">
        <v>500</v>
      </c>
      <c r="M84">
        <v>295</v>
      </c>
    </row>
    <row r="85" spans="2:13" x14ac:dyDescent="0.25">
      <c r="I85" s="17">
        <v>8</v>
      </c>
      <c r="J85">
        <v>6500</v>
      </c>
      <c r="K85">
        <v>4800</v>
      </c>
      <c r="L85">
        <v>550</v>
      </c>
      <c r="M85">
        <v>325</v>
      </c>
    </row>
    <row r="86" spans="2:13" x14ac:dyDescent="0.25">
      <c r="I86" s="17">
        <v>9</v>
      </c>
      <c r="J86">
        <v>8000</v>
      </c>
      <c r="K86">
        <v>6000</v>
      </c>
      <c r="L86">
        <v>590</v>
      </c>
      <c r="M86">
        <v>400</v>
      </c>
    </row>
    <row r="87" spans="2:13" x14ac:dyDescent="0.25">
      <c r="I87" s="17">
        <v>10</v>
      </c>
      <c r="J87">
        <v>9250</v>
      </c>
      <c r="K87">
        <v>6900</v>
      </c>
      <c r="L87">
        <v>700</v>
      </c>
      <c r="M87">
        <v>475</v>
      </c>
    </row>
    <row r="89" spans="2:13" x14ac:dyDescent="0.25">
      <c r="B89" s="90" t="s">
        <v>126</v>
      </c>
      <c r="C89" s="107" t="s">
        <v>201</v>
      </c>
      <c r="D89" s="107"/>
      <c r="E89" s="107"/>
      <c r="F89" s="107"/>
      <c r="G89" s="107"/>
      <c r="H89" s="107"/>
      <c r="I89" s="107"/>
    </row>
    <row r="90" spans="2:13" x14ac:dyDescent="0.25">
      <c r="B90" s="107"/>
      <c r="C90" s="107" t="s">
        <v>294</v>
      </c>
      <c r="D90" s="107"/>
      <c r="E90" s="107"/>
      <c r="F90" s="107"/>
      <c r="G90" s="107"/>
      <c r="H90" s="107"/>
      <c r="I90" s="107"/>
    </row>
    <row r="91" spans="2:13" ht="15.75" thickBot="1" x14ac:dyDescent="0.3">
      <c r="B91" s="107"/>
      <c r="C91" s="107"/>
      <c r="D91" s="107"/>
      <c r="E91" s="107"/>
      <c r="F91" s="107"/>
      <c r="G91" s="107"/>
      <c r="H91" s="107"/>
      <c r="I91" s="107"/>
    </row>
    <row r="92" spans="2:13" ht="15.75" thickBot="1" x14ac:dyDescent="0.3">
      <c r="B92" s="107"/>
      <c r="C92" s="124" t="s">
        <v>3</v>
      </c>
      <c r="D92" s="125" t="s">
        <v>17</v>
      </c>
      <c r="E92" s="107"/>
      <c r="F92" s="126"/>
      <c r="G92" s="107"/>
      <c r="H92" s="107"/>
      <c r="I92" s="107"/>
    </row>
    <row r="93" spans="2:13" x14ac:dyDescent="0.25">
      <c r="B93" s="107"/>
      <c r="C93" s="78">
        <v>2010</v>
      </c>
      <c r="D93" s="82">
        <v>946000</v>
      </c>
      <c r="E93" s="107"/>
      <c r="F93" s="107"/>
      <c r="G93" s="107"/>
      <c r="H93" s="107"/>
      <c r="I93" s="107"/>
    </row>
    <row r="94" spans="2:13" x14ac:dyDescent="0.25">
      <c r="B94" s="107"/>
      <c r="C94" s="78">
        <v>2011</v>
      </c>
      <c r="D94" s="82">
        <v>1055600</v>
      </c>
      <c r="E94" s="107"/>
      <c r="F94" s="107"/>
      <c r="G94" s="107"/>
      <c r="H94" s="107"/>
      <c r="I94" s="107"/>
    </row>
    <row r="95" spans="2:13" x14ac:dyDescent="0.25">
      <c r="B95" s="107"/>
      <c r="C95" s="78">
        <v>2012</v>
      </c>
      <c r="D95" s="82">
        <v>1321800</v>
      </c>
      <c r="E95" s="107"/>
      <c r="F95" s="107"/>
      <c r="G95" s="107"/>
      <c r="H95" s="107"/>
      <c r="I95" s="107"/>
    </row>
    <row r="96" spans="2:13" x14ac:dyDescent="0.25">
      <c r="B96" s="107"/>
      <c r="C96" s="78">
        <v>2013</v>
      </c>
      <c r="D96" s="127">
        <v>1216500</v>
      </c>
      <c r="E96" s="107"/>
      <c r="F96" s="107"/>
      <c r="G96" s="107"/>
      <c r="H96" s="107"/>
      <c r="I96" s="107"/>
    </row>
    <row r="97" spans="2:9" x14ac:dyDescent="0.25">
      <c r="B97" s="107"/>
      <c r="C97" s="78">
        <v>2014</v>
      </c>
      <c r="D97" s="127">
        <v>1429500</v>
      </c>
      <c r="E97" s="107"/>
      <c r="F97" s="107"/>
      <c r="G97" s="107"/>
      <c r="H97" s="107"/>
      <c r="I97" s="107"/>
    </row>
    <row r="98" spans="2:9" x14ac:dyDescent="0.25">
      <c r="B98" s="107"/>
      <c r="C98" s="78">
        <v>2015</v>
      </c>
      <c r="D98" s="127">
        <v>1562540</v>
      </c>
      <c r="E98" s="107"/>
      <c r="F98" s="107"/>
      <c r="G98" s="107"/>
      <c r="H98" s="107"/>
      <c r="I98" s="107"/>
    </row>
    <row r="99" spans="2:9" s="107" customFormat="1" x14ac:dyDescent="0.25">
      <c r="C99" s="78">
        <v>2016</v>
      </c>
      <c r="D99" s="127">
        <v>1386540</v>
      </c>
    </row>
    <row r="100" spans="2:9" s="107" customFormat="1" x14ac:dyDescent="0.25">
      <c r="C100" s="78">
        <v>2017</v>
      </c>
      <c r="D100" s="127">
        <v>1486550</v>
      </c>
    </row>
    <row r="101" spans="2:9" s="107" customFormat="1" x14ac:dyDescent="0.25">
      <c r="C101" s="78">
        <v>2018</v>
      </c>
      <c r="D101" s="127">
        <v>1362500</v>
      </c>
    </row>
    <row r="102" spans="2:9" s="107" customFormat="1" x14ac:dyDescent="0.25">
      <c r="C102" s="78">
        <v>2019</v>
      </c>
      <c r="D102" s="127">
        <v>1598650</v>
      </c>
    </row>
    <row r="103" spans="2:9" ht="15.75" thickBot="1" x14ac:dyDescent="0.3">
      <c r="B103" s="107"/>
      <c r="C103" s="79">
        <v>2020</v>
      </c>
      <c r="D103" s="80">
        <f>TREND(D93:D102,C93:C102,C103)</f>
        <v>1652920</v>
      </c>
      <c r="E103" s="107"/>
      <c r="F103" s="107"/>
      <c r="G103" s="107"/>
      <c r="H103" s="107"/>
      <c r="I103" s="107"/>
    </row>
    <row r="104" spans="2:9" x14ac:dyDescent="0.25">
      <c r="B104" s="107"/>
      <c r="C104" s="107"/>
      <c r="D104" s="107"/>
      <c r="E104" s="107"/>
      <c r="F104" s="107"/>
      <c r="G104" s="107"/>
      <c r="H104" s="107"/>
      <c r="I104" s="107"/>
    </row>
    <row r="105" spans="2:9" x14ac:dyDescent="0.25">
      <c r="B105" s="90" t="s">
        <v>127</v>
      </c>
      <c r="C105" s="107" t="s">
        <v>254</v>
      </c>
      <c r="D105" s="107"/>
      <c r="E105" s="107"/>
      <c r="F105" s="107"/>
      <c r="G105" s="107"/>
      <c r="H105" s="107"/>
      <c r="I105" s="107"/>
    </row>
    <row r="106" spans="2:9" x14ac:dyDescent="0.25">
      <c r="B106" s="107"/>
      <c r="C106" s="107" t="s">
        <v>295</v>
      </c>
      <c r="D106" s="107"/>
      <c r="E106" s="107"/>
      <c r="F106" s="107"/>
      <c r="G106" s="107"/>
      <c r="H106" s="107"/>
      <c r="I106" s="107"/>
    </row>
    <row r="107" spans="2:9" x14ac:dyDescent="0.25">
      <c r="B107" s="107"/>
      <c r="C107" s="107" t="s">
        <v>292</v>
      </c>
      <c r="D107" s="107"/>
      <c r="E107" s="107"/>
      <c r="F107" s="107"/>
      <c r="G107" s="107"/>
      <c r="H107" s="107"/>
      <c r="I107" s="107"/>
    </row>
    <row r="108" spans="2:9" x14ac:dyDescent="0.25">
      <c r="B108" s="107"/>
      <c r="C108" s="107" t="s">
        <v>293</v>
      </c>
      <c r="D108" s="107"/>
      <c r="E108" s="107"/>
      <c r="F108" s="107"/>
      <c r="G108" s="107"/>
      <c r="H108" s="107"/>
      <c r="I108" s="107"/>
    </row>
    <row r="109" spans="2:9" x14ac:dyDescent="0.25">
      <c r="B109" s="107"/>
      <c r="C109" s="107"/>
      <c r="D109" s="107"/>
      <c r="E109" s="107"/>
      <c r="F109" s="107"/>
      <c r="G109" s="107"/>
      <c r="H109" s="107"/>
      <c r="I109" s="107"/>
    </row>
    <row r="110" spans="2:9" x14ac:dyDescent="0.25">
      <c r="B110" s="107"/>
      <c r="C110" s="107"/>
      <c r="D110" s="107"/>
      <c r="E110" s="107"/>
      <c r="F110" s="107"/>
      <c r="G110" s="107"/>
      <c r="H110" s="107"/>
      <c r="I110" s="107"/>
    </row>
    <row r="111" spans="2:9" x14ac:dyDescent="0.25">
      <c r="B111" s="107"/>
      <c r="C111" s="107"/>
      <c r="D111" s="107"/>
      <c r="E111" s="107"/>
      <c r="F111" s="107"/>
      <c r="G111" s="107"/>
      <c r="H111" s="107"/>
      <c r="I111" s="107"/>
    </row>
    <row r="112" spans="2:9" x14ac:dyDescent="0.25">
      <c r="B112" s="107"/>
      <c r="C112" s="107"/>
      <c r="D112" s="107"/>
      <c r="E112" s="107"/>
      <c r="F112" s="107"/>
      <c r="G112" s="107"/>
      <c r="H112" s="107"/>
      <c r="I112" s="107"/>
    </row>
    <row r="113" spans="2:9" x14ac:dyDescent="0.25">
      <c r="B113" s="107"/>
      <c r="C113" s="107"/>
      <c r="D113" s="107"/>
      <c r="E113" s="107"/>
      <c r="F113" s="107"/>
      <c r="G113" s="107"/>
      <c r="H113" s="107"/>
      <c r="I113" s="107"/>
    </row>
    <row r="114" spans="2:9" x14ac:dyDescent="0.25">
      <c r="B114" s="107"/>
      <c r="C114" s="107"/>
      <c r="D114" s="107"/>
      <c r="E114" s="107"/>
      <c r="F114" s="107"/>
      <c r="G114" s="107"/>
      <c r="H114" s="107"/>
      <c r="I114" s="107"/>
    </row>
    <row r="115" spans="2:9" x14ac:dyDescent="0.25">
      <c r="B115" s="107"/>
      <c r="C115" s="107"/>
      <c r="D115" s="107"/>
      <c r="E115" s="107"/>
      <c r="F115" s="107"/>
      <c r="G115" s="107"/>
      <c r="H115" s="107"/>
      <c r="I115" s="107"/>
    </row>
    <row r="116" spans="2:9" x14ac:dyDescent="0.25">
      <c r="B116" s="107"/>
      <c r="C116" s="107"/>
      <c r="D116" s="107"/>
      <c r="E116" s="107"/>
      <c r="F116" s="107"/>
      <c r="G116" s="107"/>
      <c r="H116" s="107"/>
      <c r="I116" s="107"/>
    </row>
    <row r="117" spans="2:9" x14ac:dyDescent="0.25">
      <c r="B117" s="107"/>
      <c r="C117" s="107"/>
      <c r="D117" s="107"/>
      <c r="E117" s="107"/>
      <c r="F117" s="107"/>
      <c r="G117" s="107"/>
      <c r="H117" s="107"/>
      <c r="I117" s="107"/>
    </row>
    <row r="118" spans="2:9" x14ac:dyDescent="0.25">
      <c r="B118" s="107"/>
      <c r="C118" s="107"/>
      <c r="D118" s="107"/>
      <c r="E118" s="107"/>
      <c r="F118" s="107"/>
      <c r="G118" s="107"/>
      <c r="H118" s="107"/>
      <c r="I118" s="107"/>
    </row>
    <row r="119" spans="2:9" x14ac:dyDescent="0.25">
      <c r="B119" s="107"/>
      <c r="C119" s="107"/>
      <c r="D119" s="107"/>
      <c r="E119" s="107"/>
      <c r="F119" s="107"/>
      <c r="G119" s="107"/>
      <c r="H119" s="107"/>
      <c r="I119" s="107"/>
    </row>
    <row r="120" spans="2:9" x14ac:dyDescent="0.25">
      <c r="B120" s="107"/>
      <c r="C120" s="107"/>
      <c r="D120" s="107"/>
      <c r="E120" s="107"/>
      <c r="F120" s="107"/>
      <c r="G120" s="107"/>
      <c r="H120" s="107"/>
      <c r="I120" s="107"/>
    </row>
    <row r="121" spans="2:9" x14ac:dyDescent="0.25">
      <c r="B121" s="107"/>
      <c r="C121" s="107"/>
      <c r="D121" s="107"/>
      <c r="E121" s="107"/>
      <c r="F121" s="107"/>
      <c r="G121" s="107"/>
      <c r="H121" s="107"/>
      <c r="I121" s="107"/>
    </row>
    <row r="122" spans="2:9" x14ac:dyDescent="0.25">
      <c r="B122" s="107"/>
      <c r="C122" s="107"/>
      <c r="D122" s="107"/>
      <c r="E122" s="107"/>
      <c r="F122" s="107"/>
      <c r="G122" s="107"/>
      <c r="H122" s="107"/>
      <c r="I122" s="107"/>
    </row>
    <row r="123" spans="2:9" x14ac:dyDescent="0.25">
      <c r="B123" s="107"/>
      <c r="C123" s="107"/>
      <c r="D123" s="107"/>
      <c r="E123" s="107"/>
      <c r="F123" s="107"/>
      <c r="G123" s="107"/>
      <c r="H123" s="107"/>
      <c r="I123" s="107"/>
    </row>
    <row r="124" spans="2:9" x14ac:dyDescent="0.25">
      <c r="B124" s="107"/>
      <c r="C124" s="107"/>
      <c r="D124" s="107"/>
      <c r="E124" s="107"/>
      <c r="F124" s="107"/>
      <c r="G124" s="107"/>
      <c r="H124" s="107"/>
      <c r="I124" s="107"/>
    </row>
    <row r="125" spans="2:9" x14ac:dyDescent="0.25">
      <c r="B125" s="107"/>
      <c r="C125" s="107"/>
      <c r="D125" s="107"/>
      <c r="E125" s="107"/>
      <c r="F125" s="107"/>
      <c r="G125" s="107"/>
      <c r="H125" s="107"/>
      <c r="I125" s="107"/>
    </row>
    <row r="126" spans="2:9" x14ac:dyDescent="0.25">
      <c r="B126" s="107"/>
      <c r="C126" s="107"/>
      <c r="D126" s="107"/>
      <c r="E126" s="107"/>
      <c r="F126" s="107"/>
      <c r="G126" s="107"/>
      <c r="H126" s="107"/>
      <c r="I126" s="107"/>
    </row>
    <row r="127" spans="2:9" x14ac:dyDescent="0.25">
      <c r="B127" s="107"/>
      <c r="C127" s="107"/>
      <c r="D127" s="107"/>
      <c r="E127" s="107"/>
      <c r="F127" s="107"/>
      <c r="G127" s="107"/>
      <c r="H127" s="107"/>
      <c r="I127" s="107"/>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4:L73"/>
  <sheetViews>
    <sheetView showGridLines="0" zoomScaleNormal="100" workbookViewId="0">
      <selection activeCell="F56" sqref="F56"/>
    </sheetView>
  </sheetViews>
  <sheetFormatPr defaultColWidth="8.7109375" defaultRowHeight="15" x14ac:dyDescent="0.25"/>
  <cols>
    <col min="1" max="1" width="6.28515625" style="22" customWidth="1"/>
    <col min="2" max="2" width="4" style="21" customWidth="1"/>
    <col min="3" max="3" width="40.85546875" style="21" customWidth="1"/>
    <col min="4" max="6" width="15.140625" style="22" customWidth="1"/>
    <col min="7" max="7" width="4.140625" style="22" customWidth="1"/>
    <col min="8" max="10" width="7.140625" style="22" customWidth="1"/>
    <col min="11" max="16384" width="8.7109375" style="22"/>
  </cols>
  <sheetData>
    <row r="24" spans="3:6" ht="15.75" thickBot="1" x14ac:dyDescent="0.3"/>
    <row r="25" spans="3:6" ht="19.5" customHeight="1" thickBot="1" x14ac:dyDescent="0.3">
      <c r="C25" s="152" t="s">
        <v>57</v>
      </c>
      <c r="D25" s="153"/>
      <c r="E25" s="153"/>
      <c r="F25" s="153"/>
    </row>
    <row r="26" spans="3:6" ht="16.149999999999999" customHeight="1" x14ac:dyDescent="0.25">
      <c r="C26" s="35" t="s">
        <v>296</v>
      </c>
      <c r="F26" s="98">
        <v>8.5000000000000006E-2</v>
      </c>
    </row>
    <row r="27" spans="3:6" x14ac:dyDescent="0.25">
      <c r="C27" s="35" t="s">
        <v>56</v>
      </c>
      <c r="F27" s="98">
        <v>5.2499999999999998E-2</v>
      </c>
    </row>
    <row r="28" spans="3:6" x14ac:dyDescent="0.25">
      <c r="C28" s="35" t="s">
        <v>55</v>
      </c>
      <c r="F28" s="98">
        <v>7.85E-2</v>
      </c>
    </row>
    <row r="29" spans="3:6" x14ac:dyDescent="0.25">
      <c r="C29" s="35" t="s">
        <v>297</v>
      </c>
      <c r="F29" s="97">
        <v>0.28000000000000003</v>
      </c>
    </row>
    <row r="30" spans="3:6" x14ac:dyDescent="0.25">
      <c r="C30" s="35" t="s">
        <v>298</v>
      </c>
      <c r="F30" s="96">
        <v>125000</v>
      </c>
    </row>
    <row r="31" spans="3:6" x14ac:dyDescent="0.25">
      <c r="C31" s="35" t="s">
        <v>299</v>
      </c>
      <c r="F31" s="96">
        <v>400000</v>
      </c>
    </row>
    <row r="32" spans="3:6" x14ac:dyDescent="0.25">
      <c r="C32" s="35" t="s">
        <v>300</v>
      </c>
      <c r="F32" s="96">
        <v>70000</v>
      </c>
    </row>
    <row r="33" spans="3:12" ht="7.5" customHeight="1" thickBot="1" x14ac:dyDescent="0.3">
      <c r="C33" s="36"/>
      <c r="D33" s="25"/>
      <c r="E33" s="25"/>
      <c r="F33" s="37"/>
    </row>
    <row r="34" spans="3:12" x14ac:dyDescent="0.25">
      <c r="C34" s="35"/>
      <c r="F34" s="96"/>
    </row>
    <row r="35" spans="3:12" ht="21.75" thickBot="1" x14ac:dyDescent="0.4">
      <c r="C35" s="154" t="s">
        <v>22</v>
      </c>
      <c r="D35" s="154"/>
      <c r="E35" s="154"/>
      <c r="F35" s="154"/>
    </row>
    <row r="36" spans="3:12" ht="19.5" customHeight="1" thickBot="1" x14ac:dyDescent="0.3">
      <c r="C36" s="122"/>
      <c r="D36" s="104">
        <v>2017</v>
      </c>
      <c r="E36" s="104">
        <v>2018</v>
      </c>
      <c r="F36" s="104">
        <v>2019</v>
      </c>
    </row>
    <row r="37" spans="3:12" ht="17.25" customHeight="1" x14ac:dyDescent="0.25">
      <c r="C37" s="31" t="s">
        <v>17</v>
      </c>
      <c r="D37" s="22">
        <v>3500000</v>
      </c>
      <c r="E37" s="22">
        <v>3685000</v>
      </c>
      <c r="F37" s="42">
        <f>E37*(1+F26)</f>
        <v>3998225</v>
      </c>
    </row>
    <row r="38" spans="3:12" ht="17.25" x14ac:dyDescent="0.4">
      <c r="C38" s="34" t="s">
        <v>23</v>
      </c>
      <c r="D38" s="81">
        <v>1845250</v>
      </c>
      <c r="E38" s="81">
        <v>1964280</v>
      </c>
      <c r="F38" s="81">
        <f>$F$37*J38*1.06</f>
        <v>2246757.5228750003</v>
      </c>
      <c r="H38" s="47">
        <f>D38/D$37</f>
        <v>0.52721428571428575</v>
      </c>
      <c r="I38" s="47">
        <f>E38/E$37</f>
        <v>0.53304748982360928</v>
      </c>
      <c r="J38" s="49">
        <f>AVERAGE(H38:I38)</f>
        <v>0.53013088776894746</v>
      </c>
      <c r="L38" s="107"/>
    </row>
    <row r="39" spans="3:12" x14ac:dyDescent="0.25">
      <c r="C39" s="32" t="s">
        <v>24</v>
      </c>
      <c r="D39" s="22">
        <f>D37-D38</f>
        <v>1654750</v>
      </c>
      <c r="E39" s="22">
        <f>E37-E38</f>
        <v>1720720</v>
      </c>
      <c r="F39" s="22">
        <f>F37-F38</f>
        <v>1751467.4771249997</v>
      </c>
    </row>
    <row r="40" spans="3:12" x14ac:dyDescent="0.25">
      <c r="C40" s="31" t="s">
        <v>25</v>
      </c>
      <c r="D40" s="22">
        <v>695000</v>
      </c>
      <c r="E40" s="22">
        <v>742000</v>
      </c>
      <c r="F40" s="22">
        <f>$F$37*J40</f>
        <v>799501.625</v>
      </c>
      <c r="G40" s="24"/>
      <c r="H40" s="47">
        <f>D40/D$37</f>
        <v>0.19857142857142857</v>
      </c>
      <c r="I40" s="47">
        <f>E40/E$37</f>
        <v>0.20135685210312076</v>
      </c>
      <c r="J40" s="49">
        <f>AVERAGE(H40:I40)</f>
        <v>0.19996414033727467</v>
      </c>
    </row>
    <row r="41" spans="3:12" x14ac:dyDescent="0.25">
      <c r="C41" s="31" t="s">
        <v>26</v>
      </c>
      <c r="D41" s="22">
        <v>140000</v>
      </c>
      <c r="E41" s="22">
        <v>145000</v>
      </c>
      <c r="F41" s="128">
        <v>150000</v>
      </c>
    </row>
    <row r="42" spans="3:12" ht="17.25" x14ac:dyDescent="0.4">
      <c r="C42" s="34" t="s">
        <v>27</v>
      </c>
      <c r="D42" s="81">
        <v>55000</v>
      </c>
      <c r="E42" s="81">
        <v>52500</v>
      </c>
      <c r="F42" s="81">
        <f>E42+F32</f>
        <v>122500</v>
      </c>
    </row>
    <row r="43" spans="3:12" x14ac:dyDescent="0.25">
      <c r="C43" s="32" t="s">
        <v>28</v>
      </c>
      <c r="D43" s="22">
        <f>D39-D40-D41-D42</f>
        <v>764750</v>
      </c>
      <c r="E43" s="22">
        <f>E39-E40-E41-E42</f>
        <v>781220</v>
      </c>
      <c r="F43" s="22">
        <f>F39-F40-F41-F42</f>
        <v>679465.85212499974</v>
      </c>
    </row>
    <row r="44" spans="3:12" ht="17.25" x14ac:dyDescent="0.4">
      <c r="C44" s="34" t="s">
        <v>29</v>
      </c>
      <c r="D44" s="81">
        <v>25000</v>
      </c>
      <c r="E44" s="81">
        <v>26250</v>
      </c>
      <c r="F44" s="81">
        <f>F27*E61+F28*E64</f>
        <v>16356.412499999999</v>
      </c>
    </row>
    <row r="45" spans="3:12" x14ac:dyDescent="0.25">
      <c r="C45" s="32" t="s">
        <v>30</v>
      </c>
      <c r="D45" s="22">
        <f>D43-D44</f>
        <v>739750</v>
      </c>
      <c r="E45" s="22">
        <f>E43-E44</f>
        <v>754970</v>
      </c>
      <c r="F45" s="22">
        <f>F43-F44</f>
        <v>663109.43962499977</v>
      </c>
    </row>
    <row r="46" spans="3:12" ht="17.25" x14ac:dyDescent="0.4">
      <c r="C46" s="34" t="s">
        <v>31</v>
      </c>
      <c r="D46" s="81">
        <f>D45*0.35</f>
        <v>258912.49999999997</v>
      </c>
      <c r="E46" s="81">
        <f>E45*0.35</f>
        <v>264239.5</v>
      </c>
      <c r="F46" s="81">
        <f>F45*F29</f>
        <v>185670.64309499995</v>
      </c>
    </row>
    <row r="47" spans="3:12" ht="15.75" thickBot="1" x14ac:dyDescent="0.3">
      <c r="C47" s="33" t="s">
        <v>19</v>
      </c>
      <c r="D47" s="25">
        <f>D45-D46</f>
        <v>480837.5</v>
      </c>
      <c r="E47" s="25">
        <f>E45-E46</f>
        <v>490730.5</v>
      </c>
      <c r="F47" s="25">
        <f>F45-F46</f>
        <v>477438.79652999982</v>
      </c>
    </row>
    <row r="48" spans="3:12" ht="7.5" customHeight="1" x14ac:dyDescent="0.25">
      <c r="C48" s="100"/>
      <c r="D48" s="107"/>
      <c r="E48" s="107"/>
      <c r="F48" s="107"/>
    </row>
    <row r="49" spans="2:10" ht="21.75" thickBot="1" x14ac:dyDescent="0.4">
      <c r="B49" s="154" t="s">
        <v>32</v>
      </c>
      <c r="C49" s="154"/>
      <c r="D49" s="154"/>
      <c r="E49" s="154"/>
      <c r="F49" s="154"/>
    </row>
    <row r="50" spans="2:10" ht="15.75" thickBot="1" x14ac:dyDescent="0.3">
      <c r="B50" s="130" t="s">
        <v>279</v>
      </c>
      <c r="C50" s="130"/>
      <c r="D50" s="104">
        <v>2017</v>
      </c>
      <c r="E50" s="104">
        <v>2018</v>
      </c>
      <c r="F50" s="104">
        <v>2019</v>
      </c>
    </row>
    <row r="51" spans="2:10" x14ac:dyDescent="0.25">
      <c r="B51" s="27" t="s">
        <v>33</v>
      </c>
      <c r="D51" s="22">
        <v>289730</v>
      </c>
      <c r="E51" s="22">
        <v>643946</v>
      </c>
      <c r="F51" s="128">
        <v>586225</v>
      </c>
    </row>
    <row r="52" spans="2:10" x14ac:dyDescent="0.25">
      <c r="B52" s="27" t="s">
        <v>34</v>
      </c>
      <c r="D52" s="22">
        <v>465920</v>
      </c>
      <c r="E52" s="22">
        <v>446500</v>
      </c>
      <c r="F52" s="22">
        <f>$F$37*J52</f>
        <v>508348.10599999997</v>
      </c>
      <c r="H52" s="47">
        <f>D52/D$37</f>
        <v>0.13311999999999999</v>
      </c>
      <c r="I52" s="47">
        <f>E52/E$37</f>
        <v>0.12116689280868385</v>
      </c>
      <c r="J52" s="49">
        <f>AVERAGE(H52:I52)</f>
        <v>0.12714344640434191</v>
      </c>
    </row>
    <row r="53" spans="2:10" ht="17.25" x14ac:dyDescent="0.4">
      <c r="B53" s="27" t="s">
        <v>35</v>
      </c>
      <c r="D53" s="81">
        <v>382450</v>
      </c>
      <c r="E53" s="81">
        <v>461000</v>
      </c>
      <c r="F53" s="81">
        <f>$F$37*J53</f>
        <v>468538.37875000003</v>
      </c>
      <c r="H53" s="47">
        <f>D53/D$37</f>
        <v>0.10927142857142857</v>
      </c>
      <c r="I53" s="47">
        <f>E53/E$37</f>
        <v>0.12510176390773406</v>
      </c>
      <c r="J53" s="49">
        <f>AVERAGE(H53:I53)</f>
        <v>0.11718659623958132</v>
      </c>
    </row>
    <row r="54" spans="2:10" x14ac:dyDescent="0.25">
      <c r="B54" s="28" t="s">
        <v>36</v>
      </c>
      <c r="D54" s="22">
        <f>D51+D52+D53</f>
        <v>1138100</v>
      </c>
      <c r="E54" s="22">
        <f>E51+E52+E53</f>
        <v>1551446</v>
      </c>
      <c r="F54" s="22">
        <f>SUM(F51:F53)</f>
        <v>1563111.4847499998</v>
      </c>
    </row>
    <row r="55" spans="2:10" x14ac:dyDescent="0.25">
      <c r="B55" s="27" t="s">
        <v>37</v>
      </c>
      <c r="D55" s="22">
        <v>750000</v>
      </c>
      <c r="E55" s="22">
        <v>1025000</v>
      </c>
      <c r="F55" s="22">
        <f>E55+F31</f>
        <v>1425000</v>
      </c>
    </row>
    <row r="56" spans="2:10" ht="17.25" x14ac:dyDescent="0.4">
      <c r="B56" s="27" t="s">
        <v>38</v>
      </c>
      <c r="D56" s="81">
        <v>365000</v>
      </c>
      <c r="E56" s="81">
        <v>545000</v>
      </c>
      <c r="F56" s="81">
        <f>E56+F42</f>
        <v>667500</v>
      </c>
    </row>
    <row r="57" spans="2:10" ht="17.25" x14ac:dyDescent="0.4">
      <c r="B57" s="28" t="s">
        <v>39</v>
      </c>
      <c r="D57" s="81">
        <f>D55-D56</f>
        <v>385000</v>
      </c>
      <c r="E57" s="81">
        <f>E55-E56</f>
        <v>480000</v>
      </c>
      <c r="F57" s="81">
        <f>F55-F56</f>
        <v>757500</v>
      </c>
    </row>
    <row r="58" spans="2:10" ht="15.75" thickBot="1" x14ac:dyDescent="0.3">
      <c r="B58" s="28" t="s">
        <v>40</v>
      </c>
      <c r="D58" s="22">
        <f>D54+D57</f>
        <v>1523100</v>
      </c>
      <c r="E58" s="22">
        <f>E54+E57</f>
        <v>2031446</v>
      </c>
      <c r="F58" s="22">
        <f>F54+F57</f>
        <v>2320611.4847499998</v>
      </c>
    </row>
    <row r="59" spans="2:10" ht="16.149999999999999" customHeight="1" x14ac:dyDescent="0.25">
      <c r="B59" s="26" t="s">
        <v>41</v>
      </c>
      <c r="C59" s="26"/>
      <c r="D59" s="23"/>
      <c r="E59" s="23"/>
      <c r="F59" s="23"/>
    </row>
    <row r="60" spans="2:10" x14ac:dyDescent="0.25">
      <c r="B60" s="27" t="s">
        <v>42</v>
      </c>
      <c r="D60" s="22">
        <v>346000</v>
      </c>
      <c r="E60" s="22">
        <v>385000</v>
      </c>
      <c r="F60" s="22">
        <f>$F$37*J60</f>
        <v>406489.04999999993</v>
      </c>
      <c r="H60" s="47">
        <f>D60/D$37</f>
        <v>9.8857142857142852E-2</v>
      </c>
      <c r="I60" s="47">
        <f>E60/E$37</f>
        <v>0.1044776119402985</v>
      </c>
      <c r="J60" s="49">
        <f>AVERAGE(H60:I60)</f>
        <v>0.10166737739872067</v>
      </c>
    </row>
    <row r="61" spans="2:10" x14ac:dyDescent="0.25">
      <c r="B61" s="27" t="s">
        <v>43</v>
      </c>
      <c r="D61" s="22">
        <v>85650</v>
      </c>
      <c r="E61" s="22">
        <v>87265</v>
      </c>
      <c r="F61" s="128">
        <v>94765</v>
      </c>
    </row>
    <row r="62" spans="2:10" ht="17.25" x14ac:dyDescent="0.4">
      <c r="B62" s="27" t="s">
        <v>44</v>
      </c>
      <c r="D62" s="81">
        <v>45000</v>
      </c>
      <c r="E62" s="81">
        <v>62000</v>
      </c>
      <c r="F62" s="129">
        <v>58000</v>
      </c>
    </row>
    <row r="63" spans="2:10" x14ac:dyDescent="0.25">
      <c r="B63" s="28" t="s">
        <v>45</v>
      </c>
      <c r="D63" s="22">
        <f>D60+D61+D62</f>
        <v>476650</v>
      </c>
      <c r="E63" s="22">
        <f>E60+E61+E62</f>
        <v>534265</v>
      </c>
      <c r="F63" s="22">
        <f>SUM(F60:F62)</f>
        <v>559254.04999999993</v>
      </c>
    </row>
    <row r="64" spans="2:10" ht="17.25" x14ac:dyDescent="0.4">
      <c r="B64" s="27" t="s">
        <v>46</v>
      </c>
      <c r="D64" s="81">
        <v>150000</v>
      </c>
      <c r="E64" s="81">
        <v>150000</v>
      </c>
      <c r="F64" s="129">
        <v>245000</v>
      </c>
    </row>
    <row r="65" spans="2:6" x14ac:dyDescent="0.25">
      <c r="B65" s="28" t="s">
        <v>47</v>
      </c>
      <c r="D65" s="22">
        <f>D63+D64</f>
        <v>626650</v>
      </c>
      <c r="E65" s="22">
        <f>E63+E64</f>
        <v>684265</v>
      </c>
      <c r="F65" s="22">
        <f>F63+F64</f>
        <v>804254.04999999993</v>
      </c>
    </row>
    <row r="66" spans="2:6" x14ac:dyDescent="0.25">
      <c r="B66" s="27" t="s">
        <v>48</v>
      </c>
      <c r="D66" s="22">
        <v>350000</v>
      </c>
      <c r="E66" s="22">
        <v>350000</v>
      </c>
      <c r="F66" s="128">
        <v>350000</v>
      </c>
    </row>
    <row r="67" spans="2:6" ht="17.25" x14ac:dyDescent="0.4">
      <c r="B67" s="27" t="s">
        <v>49</v>
      </c>
      <c r="D67" s="81">
        <v>546450</v>
      </c>
      <c r="E67" s="81">
        <f>D67+E47-40000</f>
        <v>997180.5</v>
      </c>
      <c r="F67" s="81">
        <f>E67+F47-F30</f>
        <v>1349619.2965299999</v>
      </c>
    </row>
    <row r="68" spans="2:6" ht="17.25" x14ac:dyDescent="0.4">
      <c r="B68" s="28" t="s">
        <v>50</v>
      </c>
      <c r="D68" s="81">
        <f>D66+D67</f>
        <v>896450</v>
      </c>
      <c r="E68" s="81">
        <f>E66+E67</f>
        <v>1347180.5</v>
      </c>
      <c r="F68" s="81">
        <f>F66+F67</f>
        <v>1699619.2965299999</v>
      </c>
    </row>
    <row r="69" spans="2:6" ht="15.75" thickBot="1" x14ac:dyDescent="0.3">
      <c r="B69" s="29" t="s">
        <v>51</v>
      </c>
      <c r="C69" s="30"/>
      <c r="D69" s="25">
        <f>D65+D68</f>
        <v>1523100</v>
      </c>
      <c r="E69" s="25">
        <f>E65+E68</f>
        <v>2031445.5</v>
      </c>
      <c r="F69" s="25">
        <f>F65+F68</f>
        <v>2503873.3465299997</v>
      </c>
    </row>
    <row r="70" spans="2:6" ht="6" customHeight="1" x14ac:dyDescent="0.25"/>
    <row r="71" spans="2:6" ht="4.5" customHeight="1" thickBot="1" x14ac:dyDescent="0.3"/>
    <row r="72" spans="2:6" ht="15.75" thickBot="1" x14ac:dyDescent="0.3">
      <c r="C72" s="21" t="s">
        <v>301</v>
      </c>
      <c r="F72" s="20">
        <f>F69-F58</f>
        <v>183261.86177999992</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94"/>
  <sheetViews>
    <sheetView showGridLines="0" workbookViewId="0">
      <selection activeCell="B66" sqref="B66"/>
    </sheetView>
  </sheetViews>
  <sheetFormatPr defaultColWidth="9.140625" defaultRowHeight="15" x14ac:dyDescent="0.25"/>
  <cols>
    <col min="1" max="1" width="3" style="107" customWidth="1"/>
    <col min="2" max="2" width="9.140625" style="107"/>
    <col min="3" max="3" width="3.7109375" style="107" customWidth="1"/>
    <col min="4" max="4" width="3.28515625" style="107" customWidth="1"/>
    <col min="5" max="5" width="72.28515625" style="107" customWidth="1"/>
    <col min="6" max="6" width="11.42578125" style="107" bestFit="1" customWidth="1"/>
    <col min="7" max="7" width="12.140625" style="107" bestFit="1" customWidth="1"/>
    <col min="8" max="11" width="9.140625" style="107"/>
    <col min="12" max="12" width="9.42578125" style="107" bestFit="1" customWidth="1"/>
    <col min="13" max="13" width="11.7109375" style="107" customWidth="1"/>
    <col min="14" max="14" width="10.7109375" style="107" customWidth="1"/>
    <col min="15" max="16384" width="9.140625" style="107"/>
  </cols>
  <sheetData>
    <row r="2" spans="2:13" ht="18.75" x14ac:dyDescent="0.25">
      <c r="B2" s="101"/>
      <c r="E2" s="102" t="s">
        <v>211</v>
      </c>
    </row>
    <row r="3" spans="2:13" x14ac:dyDescent="0.25">
      <c r="B3" s="101"/>
      <c r="E3" s="103" t="s">
        <v>275</v>
      </c>
    </row>
    <row r="4" spans="2:13" x14ac:dyDescent="0.25">
      <c r="B4" s="101"/>
      <c r="K4" s="145" t="s">
        <v>308</v>
      </c>
      <c r="L4" s="145" t="s">
        <v>308</v>
      </c>
    </row>
    <row r="5" spans="2:13" x14ac:dyDescent="0.25">
      <c r="B5" s="101"/>
      <c r="E5" s="100" t="s">
        <v>124</v>
      </c>
      <c r="K5" s="145" t="b">
        <v>1</v>
      </c>
      <c r="L5" s="145" t="s">
        <v>309</v>
      </c>
    </row>
    <row r="6" spans="2:13" x14ac:dyDescent="0.25">
      <c r="E6" s="100" t="s">
        <v>125</v>
      </c>
      <c r="K6" s="145" t="b">
        <v>0</v>
      </c>
      <c r="L6" s="145" t="s">
        <v>310</v>
      </c>
    </row>
    <row r="7" spans="2:13" ht="15.75" thickBot="1" x14ac:dyDescent="0.3">
      <c r="K7" s="145"/>
      <c r="L7" s="145" t="s">
        <v>213</v>
      </c>
    </row>
    <row r="8" spans="2:13" ht="15.75" thickBot="1" x14ac:dyDescent="0.3">
      <c r="B8" s="105" t="b">
        <v>1</v>
      </c>
      <c r="C8" s="106" t="s">
        <v>0</v>
      </c>
      <c r="D8" s="106"/>
      <c r="E8" s="155" t="s">
        <v>202</v>
      </c>
      <c r="K8" s="145"/>
      <c r="L8" s="146" t="s">
        <v>250</v>
      </c>
      <c r="M8" s="95"/>
    </row>
    <row r="9" spans="2:13" ht="30.6" customHeight="1" x14ac:dyDescent="0.25">
      <c r="E9" s="155"/>
      <c r="K9" s="145"/>
      <c r="L9" s="146" t="s">
        <v>311</v>
      </c>
      <c r="M9" s="95"/>
    </row>
    <row r="10" spans="2:13" ht="15.75" thickBot="1" x14ac:dyDescent="0.3">
      <c r="L10" s="95"/>
      <c r="M10" s="95"/>
    </row>
    <row r="11" spans="2:13" ht="18" customHeight="1" thickBot="1" x14ac:dyDescent="0.3">
      <c r="B11" s="105" t="b">
        <v>1</v>
      </c>
      <c r="C11" s="106" t="s">
        <v>1</v>
      </c>
      <c r="D11" s="106"/>
      <c r="E11" s="155" t="s">
        <v>263</v>
      </c>
      <c r="L11" s="95"/>
      <c r="M11" s="95"/>
    </row>
    <row r="12" spans="2:13" ht="18" customHeight="1" x14ac:dyDescent="0.25">
      <c r="E12" s="155"/>
      <c r="L12" s="95"/>
      <c r="M12" s="95"/>
    </row>
    <row r="13" spans="2:13" ht="15.75" thickBot="1" x14ac:dyDescent="0.3">
      <c r="L13" s="95"/>
      <c r="M13" s="95"/>
    </row>
    <row r="14" spans="2:13" ht="18" customHeight="1" thickBot="1" x14ac:dyDescent="0.3">
      <c r="B14" s="105" t="b">
        <v>0</v>
      </c>
      <c r="C14" s="106" t="s">
        <v>6</v>
      </c>
      <c r="D14" s="106"/>
      <c r="E14" s="155" t="s">
        <v>264</v>
      </c>
      <c r="L14" s="95"/>
      <c r="M14" s="95"/>
    </row>
    <row r="15" spans="2:13" x14ac:dyDescent="0.25">
      <c r="E15" s="155"/>
      <c r="L15" s="95"/>
      <c r="M15" s="95"/>
    </row>
    <row r="16" spans="2:13" ht="15.75" thickBot="1" x14ac:dyDescent="0.3">
      <c r="L16" s="95"/>
      <c r="M16" s="95"/>
    </row>
    <row r="17" spans="2:13" ht="15" customHeight="1" thickBot="1" x14ac:dyDescent="0.3">
      <c r="B17" s="105" t="b">
        <v>1</v>
      </c>
      <c r="C17" s="106" t="s">
        <v>7</v>
      </c>
      <c r="D17" s="106"/>
      <c r="E17" s="155" t="s">
        <v>265</v>
      </c>
      <c r="L17" s="95"/>
      <c r="M17" s="95"/>
    </row>
    <row r="18" spans="2:13" ht="25.9" customHeight="1" thickBot="1" x14ac:dyDescent="0.3">
      <c r="E18" s="155"/>
      <c r="L18" s="95"/>
      <c r="M18" s="95"/>
    </row>
    <row r="19" spans="2:13" ht="16.5" customHeight="1" thickBot="1" x14ac:dyDescent="0.3">
      <c r="B19" s="105" t="b">
        <v>1</v>
      </c>
      <c r="C19" s="106" t="s">
        <v>126</v>
      </c>
      <c r="D19" s="106"/>
      <c r="E19" s="155" t="s">
        <v>244</v>
      </c>
    </row>
    <row r="20" spans="2:13" ht="16.5" customHeight="1" x14ac:dyDescent="0.25">
      <c r="E20" s="155"/>
    </row>
    <row r="21" spans="2:13" ht="15.75" thickBot="1" x14ac:dyDescent="0.3"/>
    <row r="22" spans="2:13" ht="15.75" thickBot="1" x14ac:dyDescent="0.3">
      <c r="B22" s="105" t="s">
        <v>250</v>
      </c>
      <c r="C22" s="106" t="s">
        <v>127</v>
      </c>
      <c r="D22" s="106"/>
      <c r="E22" s="155" t="s">
        <v>203</v>
      </c>
    </row>
    <row r="23" spans="2:13" x14ac:dyDescent="0.25">
      <c r="E23" s="155"/>
    </row>
    <row r="24" spans="2:13" x14ac:dyDescent="0.25">
      <c r="D24" s="107" t="s">
        <v>128</v>
      </c>
      <c r="E24" s="107" t="s">
        <v>266</v>
      </c>
    </row>
    <row r="25" spans="2:13" x14ac:dyDescent="0.25">
      <c r="D25" s="107" t="s">
        <v>129</v>
      </c>
      <c r="E25" s="107" t="s">
        <v>204</v>
      </c>
    </row>
    <row r="26" spans="2:13" x14ac:dyDescent="0.25">
      <c r="D26" s="107" t="s">
        <v>130</v>
      </c>
      <c r="E26" s="107" t="s">
        <v>205</v>
      </c>
    </row>
    <row r="27" spans="2:13" x14ac:dyDescent="0.25">
      <c r="D27" s="107" t="s">
        <v>131</v>
      </c>
      <c r="E27" s="107" t="s">
        <v>206</v>
      </c>
    </row>
    <row r="28" spans="2:13" x14ac:dyDescent="0.25">
      <c r="D28" s="107" t="s">
        <v>132</v>
      </c>
      <c r="E28" s="107" t="s">
        <v>133</v>
      </c>
    </row>
    <row r="29" spans="2:13" ht="15.75" thickBot="1" x14ac:dyDescent="0.3"/>
    <row r="30" spans="2:13" ht="18.75" customHeight="1" thickBot="1" x14ac:dyDescent="0.3">
      <c r="B30" s="105" t="b">
        <v>1</v>
      </c>
      <c r="C30" s="106" t="s">
        <v>134</v>
      </c>
      <c r="D30" s="106"/>
      <c r="E30" s="155" t="s">
        <v>267</v>
      </c>
    </row>
    <row r="31" spans="2:13" ht="23.45" customHeight="1" x14ac:dyDescent="0.25">
      <c r="E31" s="155"/>
    </row>
    <row r="32" spans="2:13" ht="15.75" thickBot="1" x14ac:dyDescent="0.3"/>
    <row r="33" spans="2:5" ht="15.75" thickBot="1" x14ac:dyDescent="0.3">
      <c r="B33" s="105" t="s">
        <v>213</v>
      </c>
      <c r="C33" s="106" t="s">
        <v>135</v>
      </c>
      <c r="D33" s="106"/>
      <c r="E33" s="155" t="s">
        <v>249</v>
      </c>
    </row>
    <row r="34" spans="2:5" ht="44.25" customHeight="1" x14ac:dyDescent="0.25">
      <c r="E34" s="155"/>
    </row>
    <row r="35" spans="2:5" x14ac:dyDescent="0.25">
      <c r="D35" s="107" t="s">
        <v>128</v>
      </c>
      <c r="E35" s="107" t="s">
        <v>207</v>
      </c>
    </row>
    <row r="36" spans="2:5" x14ac:dyDescent="0.25">
      <c r="D36" s="107" t="s">
        <v>129</v>
      </c>
      <c r="E36" s="107" t="s">
        <v>208</v>
      </c>
    </row>
    <row r="37" spans="2:5" x14ac:dyDescent="0.25">
      <c r="D37" s="107" t="s">
        <v>130</v>
      </c>
      <c r="E37" s="107" t="s">
        <v>268</v>
      </c>
    </row>
    <row r="38" spans="2:5" x14ac:dyDescent="0.25">
      <c r="D38" s="107" t="s">
        <v>131</v>
      </c>
      <c r="E38" s="107" t="s">
        <v>23</v>
      </c>
    </row>
    <row r="39" spans="2:5" x14ac:dyDescent="0.25">
      <c r="D39" s="107" t="s">
        <v>132</v>
      </c>
      <c r="E39" s="107" t="s">
        <v>209</v>
      </c>
    </row>
    <row r="40" spans="2:5" ht="15.75" thickBot="1" x14ac:dyDescent="0.3"/>
    <row r="41" spans="2:5" ht="20.25" customHeight="1" thickBot="1" x14ac:dyDescent="0.3">
      <c r="B41" s="105" t="b">
        <v>0</v>
      </c>
      <c r="C41" s="106" t="s">
        <v>136</v>
      </c>
      <c r="D41" s="106"/>
      <c r="E41" s="121" t="s">
        <v>248</v>
      </c>
    </row>
    <row r="42" spans="2:5" ht="41.25" customHeight="1" x14ac:dyDescent="0.25">
      <c r="E42" s="121" t="s">
        <v>269</v>
      </c>
    </row>
    <row r="43" spans="2:5" ht="15.75" thickBot="1" x14ac:dyDescent="0.3">
      <c r="E43" s="144"/>
    </row>
    <row r="44" spans="2:5" ht="15.75" thickBot="1" x14ac:dyDescent="0.3">
      <c r="B44" s="105" t="s">
        <v>213</v>
      </c>
      <c r="C44" s="106" t="s">
        <v>137</v>
      </c>
      <c r="E44" s="144" t="s">
        <v>270</v>
      </c>
    </row>
    <row r="45" spans="2:5" x14ac:dyDescent="0.25">
      <c r="E45" s="144"/>
    </row>
    <row r="46" spans="2:5" x14ac:dyDescent="0.25">
      <c r="D46" s="107" t="s">
        <v>128</v>
      </c>
      <c r="E46" s="144" t="s">
        <v>246</v>
      </c>
    </row>
    <row r="47" spans="2:5" x14ac:dyDescent="0.25">
      <c r="D47" s="107" t="s">
        <v>129</v>
      </c>
      <c r="E47" s="144" t="s">
        <v>245</v>
      </c>
    </row>
    <row r="48" spans="2:5" x14ac:dyDescent="0.25">
      <c r="D48" s="107" t="s">
        <v>130</v>
      </c>
      <c r="E48" s="144" t="s">
        <v>233</v>
      </c>
    </row>
    <row r="49" spans="2:5" x14ac:dyDescent="0.25">
      <c r="D49" s="107" t="s">
        <v>131</v>
      </c>
      <c r="E49" s="144" t="s">
        <v>247</v>
      </c>
    </row>
    <row r="50" spans="2:5" x14ac:dyDescent="0.25">
      <c r="D50" s="107" t="s">
        <v>132</v>
      </c>
      <c r="E50" s="144" t="s">
        <v>234</v>
      </c>
    </row>
    <row r="51" spans="2:5" ht="15.75" thickBot="1" x14ac:dyDescent="0.3">
      <c r="E51" s="144"/>
    </row>
    <row r="52" spans="2:5" ht="15.75" thickBot="1" x14ac:dyDescent="0.3">
      <c r="B52" s="105" t="s">
        <v>213</v>
      </c>
      <c r="C52" s="106" t="s">
        <v>235</v>
      </c>
      <c r="E52" s="144" t="s">
        <v>271</v>
      </c>
    </row>
    <row r="53" spans="2:5" x14ac:dyDescent="0.25">
      <c r="E53" s="144"/>
    </row>
    <row r="54" spans="2:5" x14ac:dyDescent="0.25">
      <c r="D54" s="107" t="s">
        <v>128</v>
      </c>
      <c r="E54" s="144" t="s">
        <v>246</v>
      </c>
    </row>
    <row r="55" spans="2:5" x14ac:dyDescent="0.25">
      <c r="D55" s="107" t="s">
        <v>129</v>
      </c>
      <c r="E55" s="144" t="s">
        <v>245</v>
      </c>
    </row>
    <row r="56" spans="2:5" x14ac:dyDescent="0.25">
      <c r="D56" s="107" t="s">
        <v>130</v>
      </c>
      <c r="E56" s="144" t="s">
        <v>233</v>
      </c>
    </row>
    <row r="57" spans="2:5" x14ac:dyDescent="0.25">
      <c r="D57" s="107" t="s">
        <v>131</v>
      </c>
      <c r="E57" s="144" t="s">
        <v>247</v>
      </c>
    </row>
    <row r="58" spans="2:5" x14ac:dyDescent="0.25">
      <c r="D58" s="107" t="s">
        <v>132</v>
      </c>
      <c r="E58" s="144" t="s">
        <v>272</v>
      </c>
    </row>
    <row r="59" spans="2:5" ht="15.75" thickBot="1" x14ac:dyDescent="0.3">
      <c r="E59" s="144"/>
    </row>
    <row r="60" spans="2:5" ht="15.75" thickBot="1" x14ac:dyDescent="0.3">
      <c r="B60" s="105" t="b">
        <v>1</v>
      </c>
      <c r="C60" s="106" t="s">
        <v>236</v>
      </c>
      <c r="D60" s="106"/>
      <c r="E60" s="155" t="s">
        <v>251</v>
      </c>
    </row>
    <row r="61" spans="2:5" ht="18" customHeight="1" x14ac:dyDescent="0.25">
      <c r="E61" s="155"/>
    </row>
    <row r="62" spans="2:5" ht="15.75" thickBot="1" x14ac:dyDescent="0.3">
      <c r="E62" s="144"/>
    </row>
    <row r="63" spans="2:5" ht="15.75" thickBot="1" x14ac:dyDescent="0.3">
      <c r="B63" s="105" t="b">
        <v>1</v>
      </c>
      <c r="C63" s="106" t="s">
        <v>237</v>
      </c>
      <c r="D63" s="106"/>
      <c r="E63" s="155" t="s">
        <v>273</v>
      </c>
    </row>
    <row r="64" spans="2:5" x14ac:dyDescent="0.25">
      <c r="E64" s="155"/>
    </row>
    <row r="65" spans="1:8" ht="15.75" thickBot="1" x14ac:dyDescent="0.3">
      <c r="E65" s="144"/>
    </row>
    <row r="66" spans="1:8" ht="15.75" thickBot="1" x14ac:dyDescent="0.3">
      <c r="B66" s="105" t="b">
        <v>0</v>
      </c>
      <c r="C66" s="106" t="s">
        <v>238</v>
      </c>
      <c r="D66" s="106"/>
      <c r="E66" s="155" t="s">
        <v>274</v>
      </c>
    </row>
    <row r="67" spans="1:8" x14ac:dyDescent="0.25">
      <c r="E67" s="155"/>
    </row>
    <row r="68" spans="1:8" ht="15.75" thickBot="1" x14ac:dyDescent="0.3">
      <c r="E68" s="144"/>
    </row>
    <row r="69" spans="1:8" ht="15.75" thickBot="1" x14ac:dyDescent="0.3">
      <c r="B69" s="105" t="b">
        <v>0</v>
      </c>
      <c r="C69" s="106" t="s">
        <v>239</v>
      </c>
      <c r="D69" s="106"/>
      <c r="E69" s="155" t="s">
        <v>240</v>
      </c>
    </row>
    <row r="70" spans="1:8" x14ac:dyDescent="0.25">
      <c r="E70" s="155"/>
    </row>
    <row r="71" spans="1:8" x14ac:dyDescent="0.25">
      <c r="E71" s="144"/>
    </row>
    <row r="72" spans="1:8" x14ac:dyDescent="0.25">
      <c r="E72" s="144"/>
    </row>
    <row r="73" spans="1:8" x14ac:dyDescent="0.25">
      <c r="E73" s="144"/>
    </row>
    <row r="74" spans="1:8" x14ac:dyDescent="0.25">
      <c r="E74" s="144"/>
    </row>
    <row r="75" spans="1:8" x14ac:dyDescent="0.25">
      <c r="E75" s="144"/>
    </row>
    <row r="76" spans="1:8" x14ac:dyDescent="0.25">
      <c r="E76" s="144"/>
    </row>
    <row r="77" spans="1:8" ht="15.75" thickBot="1" x14ac:dyDescent="0.3"/>
    <row r="78" spans="1:8" ht="30" customHeight="1" thickBot="1" x14ac:dyDescent="0.3">
      <c r="A78" s="156" t="s">
        <v>138</v>
      </c>
      <c r="B78" s="157"/>
      <c r="C78" s="157"/>
      <c r="D78" s="157"/>
      <c r="E78" s="157"/>
      <c r="F78" s="157"/>
      <c r="G78" s="157"/>
      <c r="H78" s="158"/>
    </row>
    <row r="80" spans="1:8" x14ac:dyDescent="0.25">
      <c r="A80" s="107">
        <v>1</v>
      </c>
      <c r="B80" s="68" t="b">
        <f>B8</f>
        <v>1</v>
      </c>
    </row>
    <row r="81" spans="1:2" x14ac:dyDescent="0.25">
      <c r="A81" s="107">
        <v>2</v>
      </c>
      <c r="B81" s="68" t="b">
        <f>B11</f>
        <v>1</v>
      </c>
    </row>
    <row r="82" spans="1:2" x14ac:dyDescent="0.25">
      <c r="A82" s="107">
        <v>3</v>
      </c>
      <c r="B82" s="68" t="b">
        <f>B14</f>
        <v>0</v>
      </c>
    </row>
    <row r="83" spans="1:2" x14ac:dyDescent="0.25">
      <c r="A83" s="107">
        <v>4</v>
      </c>
      <c r="B83" s="68" t="b">
        <f>B17</f>
        <v>1</v>
      </c>
    </row>
    <row r="84" spans="1:2" ht="15.75" thickBot="1" x14ac:dyDescent="0.3">
      <c r="A84" s="67">
        <v>5</v>
      </c>
      <c r="B84" s="76" t="b">
        <f>B19</f>
        <v>1</v>
      </c>
    </row>
    <row r="85" spans="1:2" x14ac:dyDescent="0.25">
      <c r="A85" s="107">
        <v>6</v>
      </c>
      <c r="B85" s="68" t="str">
        <f>B22</f>
        <v>D</v>
      </c>
    </row>
    <row r="86" spans="1:2" x14ac:dyDescent="0.25">
      <c r="A86" s="107">
        <v>7</v>
      </c>
      <c r="B86" s="68" t="b">
        <f>B30</f>
        <v>1</v>
      </c>
    </row>
    <row r="87" spans="1:2" x14ac:dyDescent="0.25">
      <c r="A87" s="107">
        <v>8</v>
      </c>
      <c r="B87" s="68" t="str">
        <f>B33</f>
        <v>C</v>
      </c>
    </row>
    <row r="88" spans="1:2" x14ac:dyDescent="0.25">
      <c r="A88" s="107">
        <v>9</v>
      </c>
      <c r="B88" s="68" t="b">
        <f>B41</f>
        <v>0</v>
      </c>
    </row>
    <row r="89" spans="1:2" ht="15.75" thickBot="1" x14ac:dyDescent="0.3">
      <c r="A89" s="67">
        <v>10</v>
      </c>
      <c r="B89" s="76" t="str">
        <f>B44</f>
        <v>C</v>
      </c>
    </row>
    <row r="90" spans="1:2" x14ac:dyDescent="0.25">
      <c r="A90" s="107">
        <v>11</v>
      </c>
      <c r="B90" s="68" t="str">
        <f>B52</f>
        <v>C</v>
      </c>
    </row>
    <row r="91" spans="1:2" x14ac:dyDescent="0.25">
      <c r="A91" s="107">
        <v>12</v>
      </c>
      <c r="B91" s="68" t="b">
        <f>B60</f>
        <v>1</v>
      </c>
    </row>
    <row r="92" spans="1:2" x14ac:dyDescent="0.25">
      <c r="A92" s="107">
        <v>13</v>
      </c>
      <c r="B92" s="68" t="b">
        <f>B63</f>
        <v>1</v>
      </c>
    </row>
    <row r="93" spans="1:2" x14ac:dyDescent="0.25">
      <c r="A93" s="107">
        <v>14</v>
      </c>
      <c r="B93" s="68" t="b">
        <f>B66</f>
        <v>0</v>
      </c>
    </row>
    <row r="94" spans="1:2" x14ac:dyDescent="0.25">
      <c r="A94" s="107">
        <v>15</v>
      </c>
      <c r="B94" s="68" t="b">
        <f>B69</f>
        <v>0</v>
      </c>
    </row>
  </sheetData>
  <mergeCells count="13">
    <mergeCell ref="E69:E70"/>
    <mergeCell ref="A78:H78"/>
    <mergeCell ref="E30:E31"/>
    <mergeCell ref="E33:E34"/>
    <mergeCell ref="E60:E61"/>
    <mergeCell ref="E63:E64"/>
    <mergeCell ref="E66:E67"/>
    <mergeCell ref="E22:E23"/>
    <mergeCell ref="E8:E9"/>
    <mergeCell ref="E11:E12"/>
    <mergeCell ref="E14:E15"/>
    <mergeCell ref="E17:E18"/>
    <mergeCell ref="E19:E20"/>
  </mergeCells>
  <dataValidations count="2">
    <dataValidation type="list" allowBlank="1" showInputMessage="1" showErrorMessage="1" sqref="B22 B33 B44 B52" xr:uid="{00000000-0002-0000-0700-000000000000}">
      <formula1>$L$4:$L$9</formula1>
    </dataValidation>
    <dataValidation type="list" allowBlank="1" showInputMessage="1" showErrorMessage="1" sqref="B8 B11 B14 B17 B19 B30 B41 B60 B63 B66 B69" xr:uid="{00000000-0002-0000-0700-000001000000}">
      <formula1>$K$4:$K$6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P1 - 20 Pts</vt:lpstr>
      <vt:lpstr>P2 - 5 Pts</vt:lpstr>
      <vt:lpstr>P3 - 10 Pts</vt:lpstr>
      <vt:lpstr>P4 - 10 Pts</vt:lpstr>
      <vt:lpstr>P5 - 20 Pts</vt:lpstr>
      <vt:lpstr>P6 - 15 Pts</vt:lpstr>
      <vt:lpstr>MC-TF 20 Pts</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2015-10-20T18:19:48Z</cp:lastPrinted>
  <dcterms:created xsi:type="dcterms:W3CDTF">2010-01-13T00:10:02Z</dcterms:created>
  <dcterms:modified xsi:type="dcterms:W3CDTF">2020-03-24T23:38:59Z</dcterms:modified>
</cp:coreProperties>
</file>