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hawley\Dropbox\Class\Spring 2013\Exam 2\"/>
    </mc:Choice>
  </mc:AlternateContent>
  <bookViews>
    <workbookView xWindow="2820" yWindow="90" windowWidth="20130" windowHeight="7980" tabRatio="681" activeTab="1"/>
  </bookViews>
  <sheets>
    <sheet name="Instructions" sheetId="15" r:id="rId1"/>
    <sheet name="P1 - 30 Pts" sheetId="2" r:id="rId2"/>
    <sheet name="P2 - 5 Pts" sheetId="10" r:id="rId3"/>
    <sheet name="P3 - 10 Pts" sheetId="14" r:id="rId4"/>
    <sheet name="P4 - 15 Pts" sheetId="1" r:id="rId5"/>
    <sheet name="P5 - 20 Pts" sheetId="5" r:id="rId6"/>
    <sheet name="MC-TF - 20 Pts" sheetId="13" r:id="rId7"/>
  </sheets>
  <definedNames>
    <definedName name="OLE_LINK1" localSheetId="4">'P4 - 15 Pts'!$C$55</definedName>
    <definedName name="Periods">'P1 - 30 Pts'!$O$21</definedName>
    <definedName name="_xlnm.Print_Area" localSheetId="5">'P5 - 20 Pts'!$B$35:$F$73</definedName>
    <definedName name="Rate">'P1 - 30 Pts'!$F$23</definedName>
    <definedName name="Term">'P1 - 30 Pts'!$F$22</definedName>
  </definedNames>
  <calcPr calcId="152511"/>
</workbook>
</file>

<file path=xl/calcChain.xml><?xml version="1.0" encoding="utf-8"?>
<calcChain xmlns="http://schemas.openxmlformats.org/spreadsheetml/2006/main">
  <c r="F38" i="5" l="1"/>
  <c r="B78" i="13" l="1"/>
  <c r="B77" i="13"/>
  <c r="B76" i="13"/>
  <c r="B75" i="13"/>
  <c r="B74" i="13"/>
  <c r="B73" i="13"/>
  <c r="B72" i="13"/>
  <c r="B71" i="13"/>
  <c r="B70" i="13"/>
  <c r="B69" i="13"/>
  <c r="B68" i="13"/>
  <c r="B67" i="13"/>
  <c r="E74" i="1" l="1"/>
  <c r="E66" i="1"/>
  <c r="E65" i="1"/>
  <c r="E64" i="1"/>
  <c r="E63" i="1"/>
  <c r="E62" i="1"/>
  <c r="E61" i="1"/>
  <c r="D34" i="1"/>
  <c r="I20" i="14"/>
  <c r="I27" i="14" l="1"/>
  <c r="I28" i="14" l="1"/>
  <c r="E22" i="1"/>
  <c r="E23" i="1" s="1"/>
  <c r="E24" i="1" s="1"/>
  <c r="I21" i="14" l="1"/>
  <c r="I29" i="14"/>
  <c r="I22" i="14" l="1"/>
  <c r="I30" i="14"/>
  <c r="I23" i="14" s="1"/>
  <c r="F46" i="1" l="1"/>
  <c r="F45" i="1"/>
  <c r="F44" i="1"/>
  <c r="F43" i="1"/>
  <c r="E25" i="1"/>
  <c r="E57" i="5" l="1"/>
  <c r="D57" i="5"/>
  <c r="E54" i="5"/>
  <c r="E68" i="5"/>
  <c r="E63" i="5"/>
  <c r="E65" i="5" s="1"/>
  <c r="D68" i="5"/>
  <c r="D63" i="5"/>
  <c r="D65" i="5" s="1"/>
  <c r="D69" i="5" s="1"/>
  <c r="D54" i="5"/>
  <c r="E39" i="5"/>
  <c r="E43" i="5" s="1"/>
  <c r="E45" i="5" s="1"/>
  <c r="E47" i="5" s="1"/>
  <c r="D39" i="5"/>
  <c r="D43" i="5" s="1"/>
  <c r="D45" i="5" s="1"/>
  <c r="D47" i="5" s="1"/>
  <c r="F55" i="5"/>
  <c r="I60" i="5"/>
  <c r="H60" i="5"/>
  <c r="J60" i="5" s="1"/>
  <c r="I53" i="5"/>
  <c r="H53" i="5"/>
  <c r="I52" i="5"/>
  <c r="H52" i="5"/>
  <c r="J52" i="5" s="1"/>
  <c r="F44" i="5"/>
  <c r="F42" i="5"/>
  <c r="F56" i="5" s="1"/>
  <c r="I40" i="5"/>
  <c r="H40" i="5"/>
  <c r="I38" i="5"/>
  <c r="H38" i="5"/>
  <c r="F37" i="5"/>
  <c r="G19" i="10"/>
  <c r="D58" i="5" l="1"/>
  <c r="E69" i="5"/>
  <c r="E58" i="5"/>
  <c r="J38" i="5"/>
  <c r="F57" i="5"/>
  <c r="G23" i="10"/>
  <c r="G31" i="10" s="1"/>
  <c r="F60" i="5"/>
  <c r="F63" i="5" s="1"/>
  <c r="F65" i="5" s="1"/>
  <c r="J40" i="5"/>
  <c r="F40" i="5" s="1"/>
  <c r="J53" i="5"/>
  <c r="F53" i="5" s="1"/>
  <c r="F52" i="5"/>
  <c r="G30" i="2"/>
  <c r="O21" i="2"/>
  <c r="F39" i="5" l="1"/>
  <c r="F43" i="5" s="1"/>
  <c r="F45" i="5" s="1"/>
  <c r="D31" i="2"/>
  <c r="D35" i="2" s="1"/>
  <c r="H25" i="2"/>
  <c r="F54" i="5"/>
  <c r="F58" i="5" s="1"/>
  <c r="E31" i="2"/>
  <c r="D90" i="2"/>
  <c r="D89" i="2"/>
  <c r="D88" i="2"/>
  <c r="D87" i="2"/>
  <c r="D86" i="2"/>
  <c r="D85" i="2"/>
  <c r="D84" i="2"/>
  <c r="D83" i="2"/>
  <c r="D82" i="2"/>
  <c r="D81" i="2"/>
  <c r="D80" i="2"/>
  <c r="D79" i="2"/>
  <c r="D67" i="2" l="1"/>
  <c r="D75" i="2"/>
  <c r="D70" i="2"/>
  <c r="D74" i="2"/>
  <c r="D78" i="2"/>
  <c r="D68" i="2"/>
  <c r="D72" i="2"/>
  <c r="D76" i="2"/>
  <c r="D71" i="2"/>
  <c r="D69" i="2"/>
  <c r="D73" i="2"/>
  <c r="D77" i="2"/>
  <c r="H22" i="2"/>
  <c r="D39" i="2"/>
  <c r="D43" i="2"/>
  <c r="D47" i="2"/>
  <c r="D34" i="2"/>
  <c r="D33" i="2"/>
  <c r="D52" i="2"/>
  <c r="D56" i="2"/>
  <c r="D60" i="2"/>
  <c r="D64" i="2"/>
  <c r="D40" i="2"/>
  <c r="D44" i="2"/>
  <c r="D48" i="2"/>
  <c r="D38" i="2"/>
  <c r="D36" i="2"/>
  <c r="D53" i="2"/>
  <c r="D57" i="2"/>
  <c r="D61" i="2"/>
  <c r="D65" i="2"/>
  <c r="D41" i="2"/>
  <c r="D45" i="2"/>
  <c r="D49" i="2"/>
  <c r="F31" i="2"/>
  <c r="G31" i="2" s="1"/>
  <c r="E32" i="2" s="1"/>
  <c r="D32" i="2"/>
  <c r="D54" i="2"/>
  <c r="D58" i="2"/>
  <c r="D62" i="2"/>
  <c r="D66" i="2"/>
  <c r="D42" i="2"/>
  <c r="D46" i="2"/>
  <c r="D50" i="2"/>
  <c r="D37" i="2"/>
  <c r="D51" i="2"/>
  <c r="D55" i="2"/>
  <c r="D59" i="2"/>
  <c r="D63" i="2"/>
  <c r="F46" i="5"/>
  <c r="F47" i="5" s="1"/>
  <c r="F67" i="5" s="1"/>
  <c r="F68" i="5" s="1"/>
  <c r="F69" i="5" s="1"/>
  <c r="F72" i="5" s="1"/>
  <c r="F32" i="2" l="1"/>
  <c r="G32" i="2" s="1"/>
  <c r="E33" i="2" s="1"/>
  <c r="F33" i="2" s="1"/>
  <c r="G33" i="2" s="1"/>
  <c r="E34" i="2" s="1"/>
  <c r="F34" i="2" s="1"/>
  <c r="G34" i="2" s="1"/>
  <c r="E35" i="2" s="1"/>
  <c r="F35" i="2" s="1"/>
  <c r="G35" i="2" s="1"/>
  <c r="E36" i="2" s="1"/>
  <c r="F36" i="2" s="1"/>
  <c r="G36" i="2" s="1"/>
  <c r="E37" i="2" l="1"/>
  <c r="F37" i="2" s="1"/>
  <c r="G37" i="2" s="1"/>
  <c r="E38" i="2" l="1"/>
  <c r="F38" i="2" s="1"/>
  <c r="G38" i="2" s="1"/>
  <c r="E39" i="2" l="1"/>
  <c r="F39" i="2" s="1"/>
  <c r="G39" i="2" s="1"/>
  <c r="E40" i="2" l="1"/>
  <c r="F40" i="2" s="1"/>
  <c r="G40" i="2" s="1"/>
  <c r="E41" i="2" l="1"/>
  <c r="F41" i="2" s="1"/>
  <c r="G41" i="2" s="1"/>
  <c r="E42" i="2" l="1"/>
  <c r="F42" i="2" s="1"/>
  <c r="G42" i="2" s="1"/>
  <c r="E43" i="2" l="1"/>
  <c r="F43" i="2" s="1"/>
  <c r="G43" i="2" s="1"/>
  <c r="E44" i="2" l="1"/>
  <c r="F44" i="2" s="1"/>
  <c r="G44" i="2" s="1"/>
  <c r="E45" i="2" l="1"/>
  <c r="F45" i="2" s="1"/>
  <c r="G45" i="2" s="1"/>
  <c r="E46" i="2" l="1"/>
  <c r="F46" i="2" s="1"/>
  <c r="G46" i="2" s="1"/>
  <c r="E47" i="2" l="1"/>
  <c r="F47" i="2" s="1"/>
  <c r="G47" i="2" s="1"/>
  <c r="E48" i="2" l="1"/>
  <c r="F48" i="2" s="1"/>
  <c r="G48" i="2" s="1"/>
  <c r="E49" i="2" l="1"/>
  <c r="F49" i="2" s="1"/>
  <c r="G49" i="2" s="1"/>
  <c r="E50" i="2" l="1"/>
  <c r="F50" i="2" s="1"/>
  <c r="G50" i="2" s="1"/>
  <c r="E51" i="2" l="1"/>
  <c r="F51" i="2" s="1"/>
  <c r="G51" i="2" s="1"/>
  <c r="E52" i="2" l="1"/>
  <c r="F52" i="2" s="1"/>
  <c r="G52" i="2" s="1"/>
  <c r="E53" i="2" l="1"/>
  <c r="F53" i="2" s="1"/>
  <c r="G53" i="2" s="1"/>
  <c r="E54" i="2" l="1"/>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 r="E67" i="2" l="1"/>
  <c r="F67" i="2" s="1"/>
  <c r="G67" i="2" s="1"/>
  <c r="E68" i="2" l="1"/>
  <c r="F68" i="2" s="1"/>
  <c r="G68" i="2" s="1"/>
  <c r="E69" i="2" l="1"/>
  <c r="F69" i="2" s="1"/>
  <c r="G69" i="2" s="1"/>
  <c r="E70" i="2" l="1"/>
  <c r="F70" i="2" s="1"/>
  <c r="G70" i="2" s="1"/>
  <c r="E71" i="2" l="1"/>
  <c r="F71" i="2" s="1"/>
  <c r="G71" i="2" s="1"/>
  <c r="E72" i="2" l="1"/>
  <c r="F72" i="2" s="1"/>
  <c r="G72" i="2" s="1"/>
  <c r="E73" i="2" l="1"/>
  <c r="F73" i="2" s="1"/>
  <c r="G73" i="2" s="1"/>
  <c r="E74" i="2" l="1"/>
  <c r="F74" i="2" s="1"/>
  <c r="G74" i="2" s="1"/>
  <c r="E75" i="2" l="1"/>
  <c r="F75" i="2" s="1"/>
  <c r="G75" i="2" s="1"/>
  <c r="E76" i="2" l="1"/>
  <c r="F76" i="2" s="1"/>
  <c r="G76" i="2" s="1"/>
  <c r="E77" i="2" l="1"/>
  <c r="F77" i="2" s="1"/>
  <c r="G77" i="2" s="1"/>
  <c r="E78" i="2" l="1"/>
  <c r="F78" i="2" s="1"/>
  <c r="G78" i="2" s="1"/>
  <c r="E79" i="2" l="1"/>
  <c r="F79" i="2" s="1"/>
  <c r="G79" i="2" s="1"/>
  <c r="E80" i="2" l="1"/>
  <c r="F80" i="2" s="1"/>
  <c r="G80" i="2" s="1"/>
  <c r="E81" i="2" l="1"/>
  <c r="F81" i="2" s="1"/>
  <c r="G81" i="2" s="1"/>
  <c r="E82" i="2" l="1"/>
  <c r="F82" i="2" s="1"/>
  <c r="G82" i="2" s="1"/>
  <c r="E83" i="2" l="1"/>
  <c r="F83" i="2" s="1"/>
  <c r="G83" i="2" s="1"/>
  <c r="E84" i="2" l="1"/>
  <c r="F84" i="2" s="1"/>
  <c r="G84" i="2" s="1"/>
  <c r="E85" i="2" l="1"/>
  <c r="F85" i="2" s="1"/>
  <c r="G85" i="2" s="1"/>
  <c r="E86" i="2" l="1"/>
  <c r="F86" i="2" s="1"/>
  <c r="G86" i="2" s="1"/>
  <c r="E87" i="2" l="1"/>
  <c r="F87" i="2" s="1"/>
  <c r="G87" i="2" s="1"/>
  <c r="E88" i="2" l="1"/>
  <c r="F88" i="2" s="1"/>
  <c r="G88" i="2" s="1"/>
  <c r="E89" i="2" l="1"/>
  <c r="F89" i="2" s="1"/>
  <c r="G89" i="2" s="1"/>
  <c r="E90" i="2" l="1"/>
  <c r="F90" i="2" s="1"/>
  <c r="G90" i="2" s="1"/>
</calcChain>
</file>

<file path=xl/sharedStrings.xml><?xml version="1.0" encoding="utf-8"?>
<sst xmlns="http://schemas.openxmlformats.org/spreadsheetml/2006/main" count="242" uniqueCount="209">
  <si>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</si>
  <si>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</si>
  <si>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</si>
  <si>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</si>
  <si>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</si>
  <si>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</si>
  <si>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</si>
  <si>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</si>
  <si>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</si>
  <si>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</si>
  <si>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</si>
  <si>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</si>
  <si>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</si>
  <si>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</si>
  <si>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</si>
  <si>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</si>
  <si>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</si>
  <si>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</si>
  <si>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</si>
  <si>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</si>
  <si>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</si>
  <si>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</si>
  <si>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</si>
  <si>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</si>
  <si>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</si>
  <si>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</si>
  <si>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</si>
  <si>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</si>
  <si>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</si>
  <si>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</si>
  <si>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</si>
  <si>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</si>
  <si>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</si>
  <si>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</si>
  <si>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</si>
  <si>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</si>
  <si>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</si>
  <si>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</si>
  <si>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</si>
  <si>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</si>
  <si>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</si>
  <si>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</si>
  <si>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</si>
  <si>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</si>
  <si>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</si>
  <si>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</si>
  <si>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</si>
  <si>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</si>
  <si>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</si>
  <si>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</si>
  <si>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</si>
  <si>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</si>
  <si>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</si>
  <si>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NOTHING SHOULD BE USED OR ACCESSED BY YOU DURING THIS</t>
  </si>
  <si>
    <t>TEST EXCEPT THE COMPUTER YOU ARE USING AND THIS FILE, AND</t>
  </si>
  <si>
    <t>BLACKBOARD WHEN YOU SUBMIT YOUR COMPLETED EXAM.</t>
  </si>
  <si>
    <t>VIDEO SURVEILLANCE IS ACTIVE.</t>
  </si>
  <si>
    <t>Points are shown on each tab. Partial credit will be given where possible.</t>
  </si>
  <si>
    <t>Interest Rate on Long Term Debt</t>
  </si>
  <si>
    <t>Interest Rate on Short Term Notes Payable</t>
  </si>
  <si>
    <t>INPUTS</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</si>
  <si>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</si>
  <si>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</si>
  <si>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</si>
  <si>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</si>
  <si>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</si>
  <si>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</si>
  <si>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</si>
  <si>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</si>
  <si>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</si>
  <si>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</si>
  <si>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</si>
  <si>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</si>
  <si>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</si>
  <si>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</si>
  <si>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</si>
  <si>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</si>
  <si>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</si>
  <si>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</si>
  <si>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</si>
  <si>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</si>
  <si>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</si>
  <si>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</si>
  <si>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</si>
  <si>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</si>
  <si>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</si>
  <si>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</si>
  <si>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</si>
  <si>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</si>
  <si>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</si>
  <si>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</si>
  <si>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</si>
  <si>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</si>
  <si>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</si>
  <si>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</si>
  <si>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</si>
  <si>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</si>
  <si>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Total PV at t=0 of known CFs</t>
  </si>
  <si>
    <t>PV at t=0 of unknowns</t>
  </si>
  <si>
    <t>Value of X's</t>
  </si>
  <si>
    <t>Points as marked for each question.</t>
  </si>
  <si>
    <t xml:space="preserve">some other amount in the final year. </t>
  </si>
  <si>
    <t>YOU MAY NOT ACCESS THE INTERNET WHILE COMPLETING THIS EXAM.</t>
  </si>
  <si>
    <t>YOU MAY NOT ACCESS ANY PROGRAM ON YOUR COMPUTER OTHER THAN EXCEL</t>
  </si>
  <si>
    <t>RESAVE IT OFTEN WHILE YOU ARE COMPLETING IT.</t>
  </si>
  <si>
    <t>Close Excel</t>
  </si>
  <si>
    <t>Computations</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</si>
  <si>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</si>
  <si>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</si>
  <si>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</si>
  <si>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</si>
  <si>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</si>
  <si>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</si>
  <si>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</si>
  <si>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</si>
  <si>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There are 7 tabbed pages in this exam spreadsheet including this one.</t>
  </si>
  <si>
    <t>The last tab contains multiple choice and true/false questions that count for</t>
  </si>
  <si>
    <t>-2 Points for each incorrect answer.</t>
  </si>
  <si>
    <t>For True/False questions, enter TRUE or FALSE in the yellow cell.</t>
  </si>
  <si>
    <t>For multiple choice questions, enter the letter of the best reponse in the yellow cell.</t>
  </si>
  <si>
    <t>5.</t>
  </si>
  <si>
    <t>6.</t>
  </si>
  <si>
    <t>A.</t>
  </si>
  <si>
    <t>B.</t>
  </si>
  <si>
    <t>C.</t>
  </si>
  <si>
    <t>D.</t>
  </si>
  <si>
    <t>E.</t>
  </si>
  <si>
    <t>7.</t>
  </si>
  <si>
    <t>8.</t>
  </si>
  <si>
    <t>9.</t>
  </si>
  <si>
    <t>10.</t>
  </si>
  <si>
    <t>DO NOT CHANGE ANYTHING BELOW THIS LINE</t>
  </si>
  <si>
    <t>When projecting pro-forma income statements and balance sheets using the percent of sales method, which of the following are typically not assumed to maintain the same percentage ralationship to sales over time?</t>
  </si>
  <si>
    <t>Accounts receivable</t>
  </si>
  <si>
    <t>Account payable</t>
  </si>
  <si>
    <t>All of the above would typically maintain the same percentage relationship to sales.</t>
  </si>
  <si>
    <t>Percent Change in Sales from 2012</t>
  </si>
  <si>
    <t>Tax Rate for 2013</t>
  </si>
  <si>
    <t>Common Stock Dividend for 2013</t>
  </si>
  <si>
    <t>Expected addition to Plant and Equipment in 2013</t>
  </si>
  <si>
    <t>Additional depreciation on new Plant/Equip in 2013</t>
  </si>
  <si>
    <t>Excess/(Deficit) Financing for 2013</t>
  </si>
  <si>
    <t>Objective Section - 20 Points Possible</t>
  </si>
  <si>
    <t>E</t>
  </si>
  <si>
    <t>20 points of the 100 point total for the exam.</t>
  </si>
  <si>
    <t>C</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</si>
  <si>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</si>
  <si>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</si>
  <si>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</si>
  <si>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</si>
  <si>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</si>
  <si>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</si>
  <si>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</si>
  <si>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</si>
  <si>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</si>
  <si>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</si>
  <si>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</si>
  <si>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</si>
  <si>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</si>
  <si>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</si>
  <si>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</si>
  <si>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t>The inputs below are for a monthly payment amortizing loan with a maximum term of 5 years:</t>
  </si>
  <si>
    <t>Term of Loan in Years (1 to 5)</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</si>
  <si>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[ 2 Points ]</t>
    </r>
  </si>
  <si>
    <t xml:space="preserve">for the first four years, but then will pay an equal amount each year for 5 years, and then </t>
  </si>
  <si>
    <r>
      <t>Your formulas should work for any reasonable value of the input.</t>
    </r>
    <r>
      <rPr>
        <b/>
        <sz val="11"/>
        <color theme="1"/>
        <rFont val="Calibri"/>
        <family val="2"/>
        <scheme val="minor"/>
      </rPr>
      <t xml:space="preserve"> [3 Points]</t>
    </r>
  </si>
  <si>
    <t xml:space="preserve">if the discount rate is 10% per year compounded annually. The three missing cash flows, </t>
  </si>
  <si>
    <t>PV at t=0 of CF2-4</t>
  </si>
  <si>
    <t>PV at t=0 of CF8-10</t>
  </si>
  <si>
    <t>The total present value of all of the cash flows, including the three missing ones, is $1250</t>
  </si>
  <si>
    <t>Value of unknowns at t=4</t>
  </si>
  <si>
    <r>
      <t>hard-code the numbers in the formulas but the formulas must be shown.</t>
    </r>
    <r>
      <rPr>
        <b/>
        <sz val="11"/>
        <color theme="1"/>
        <rFont val="Calibri"/>
        <family val="2"/>
        <scheme val="minor"/>
      </rPr>
      <t xml:space="preserve"> [4 Points ]</t>
    </r>
  </si>
  <si>
    <r>
      <t>given in the input cell.</t>
    </r>
    <r>
      <rPr>
        <b/>
        <sz val="11"/>
        <color theme="1"/>
        <rFont val="Calibri"/>
        <family val="2"/>
        <scheme val="minor"/>
      </rPr>
      <t xml:space="preserve"> [2 Points]</t>
    </r>
  </si>
  <si>
    <t xml:space="preserve">the EBIT from the table at the right for the year </t>
  </si>
  <si>
    <t xml:space="preserve">The table below gives the annual sales for a company from </t>
  </si>
  <si>
    <t>sales on the y-axis and the year on the x-axis, and that includes</t>
  </si>
  <si>
    <t>a trendline showing the best linear estimate of sales for 2013,</t>
  </si>
  <si>
    <t>2014, and 2014 based on the given past sales amounts.</t>
  </si>
  <si>
    <t>2005-2012. Use that data to create a scatter chart with lines that shows</t>
  </si>
  <si>
    <t>Format your chart appropriately. Set the x axis to start at 2005</t>
  </si>
  <si>
    <r>
      <t xml:space="preserve"> and ends at 2015, and make sure every year displays.</t>
    </r>
    <r>
      <rPr>
        <b/>
        <sz val="11"/>
        <color theme="1"/>
        <rFont val="Calibri"/>
        <family val="2"/>
        <scheme val="minor"/>
      </rPr>
      <t xml:space="preserve"> [4 Points]</t>
    </r>
  </si>
  <si>
    <t>The difference between the total cash inflows and the total cash outflows during a period is known as the net working capital.</t>
  </si>
  <si>
    <t>The risk/return tradeoff says that in order to make a higher rate of return over time, you must take higher risk.</t>
  </si>
  <si>
    <t>Entering the characters 123 in a cell that has a custom format of 00000 will result in the contents of the cell looking like which of the following?</t>
  </si>
  <si>
    <t>None of the above</t>
  </si>
  <si>
    <t>The slope of the security market line (SML) will increase when</t>
  </si>
  <si>
    <t>Investor risk aversion decreases</t>
  </si>
  <si>
    <t>The real rate of interest increases</t>
  </si>
  <si>
    <t>Expected inflation increases</t>
  </si>
  <si>
    <t>More than one of the above</t>
  </si>
  <si>
    <t>The height (y-intercept) of the SML will increase for all of the following except</t>
  </si>
  <si>
    <t>The risk premium on the market portfolio increases</t>
  </si>
  <si>
    <t>More than one of the above is an exception</t>
  </si>
  <si>
    <t>Expected inflation decreases</t>
  </si>
  <si>
    <t>B</t>
  </si>
  <si>
    <t>The beta (β) coefficient is a measure of the correlation of a particular stock's returns to those of the average stock of average risk over the same time period.</t>
  </si>
  <si>
    <t>Any stock that is less sensitive that average to changes in general economic conditions will have a beta coefficient less than zero.</t>
  </si>
  <si>
    <t>Entering a number in a cell that is formatted as TEXT will result in the number being treated as a zero in any formula that references the cell.</t>
  </si>
  <si>
    <t>For any positive interest rate, increasing the compounding frequency will increase the future value of an investment.</t>
  </si>
  <si>
    <t>A borrower would always prefer a shorter compounding period for interest than a longer compounding period, other things equal.</t>
  </si>
  <si>
    <t>11.</t>
  </si>
  <si>
    <t>The "real" rate of interest increases as the risk of an investment increases, other things equal.</t>
  </si>
  <si>
    <t>12.</t>
  </si>
  <si>
    <t>Retained Earnings</t>
  </si>
  <si>
    <t>IMPORTANT:</t>
  </si>
  <si>
    <t xml:space="preserve">SAVE THIS FILE BACK TO YOUR DESKTOP WITH </t>
  </si>
  <si>
    <t>YOUR FIRST AND LAST NAME IN THE FILENAME.</t>
  </si>
  <si>
    <t>Fill out and sign the information form and give it to Dr. Hawley</t>
  </si>
  <si>
    <t>on your way out.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</si>
</sst>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i/>
      <u/>
      <sz val="14"/>
      <color rgb="FFFF0000"/>
      <name val="Calibri"/>
      <family val="2"/>
      <scheme val="minor"/>
    </font>
    <font>
      <b/>
      <sz val="16"/>
      <color rgb="FFFF0000"/>
      <name val="Calibri"/>
      <family val="2"/>
      <scheme val="minor"/>
    </font>
    <font>
      <b/>
      <i/>
      <u/>
      <sz val="16"/>
      <color rgb="FFFF0000"/>
      <name val="Calibri"/>
      <family val="2"/>
      <scheme val="minor"/>
    </font>
    <font>
      <sz val="12"/>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5" borderId="13"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5"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1" fontId="8" fillId="5" borderId="14"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2" fillId="0" borderId="8" xfId="0" applyNumberFormat="1" applyFont="1" applyBorder="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9" fontId="0" fillId="0" borderId="0" xfId="0" applyNumberForma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41" fontId="5" fillId="2" borderId="0" xfId="0" applyNumberFormat="1" applyFont="1" applyFill="1"/>
    <xf numFmtId="0" fontId="0" fillId="0" borderId="0" xfId="0" quotePrefix="1"/>
    <xf numFmtId="41" fontId="0" fillId="2" borderId="0" xfId="0" applyNumberFormat="1" applyFill="1"/>
    <xf numFmtId="0" fontId="0" fillId="0" borderId="0" xfId="0"/>
    <xf numFmtId="0" fontId="0" fillId="0" borderId="0" xfId="0"/>
    <xf numFmtId="0" fontId="0" fillId="0" borderId="9"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6" xfId="2" applyNumberFormat="1" applyFont="1" applyBorder="1" applyAlignment="1">
      <alignment horizontal="center"/>
    </xf>
    <xf numFmtId="0" fontId="0" fillId="0" borderId="15" xfId="0" applyBorder="1" applyAlignment="1">
      <alignment horizontal="center"/>
    </xf>
    <xf numFmtId="0" fontId="0" fillId="0" borderId="0" xfId="0"/>
    <xf numFmtId="0" fontId="0" fillId="0" borderId="0" xfId="0"/>
    <xf numFmtId="0" fontId="0" fillId="0" borderId="8"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0" fontId="0" fillId="0" borderId="0" xfId="0" quotePrefix="1"/>
    <xf numFmtId="0" fontId="0" fillId="0" borderId="0" xfId="0"/>
    <xf numFmtId="0" fontId="13" fillId="0" borderId="0" xfId="0" applyFont="1"/>
    <xf numFmtId="0" fontId="13" fillId="0" borderId="0" xfId="0" applyFont="1"/>
    <xf numFmtId="0" fontId="3" fillId="4" borderId="5" xfId="0" applyFont="1" applyFill="1" applyBorder="1" applyAlignment="1">
      <alignment horizontal="center"/>
    </xf>
    <xf numFmtId="0" fontId="3" fillId="4" borderId="9" xfId="0" applyFont="1" applyFill="1" applyBorder="1" applyAlignment="1">
      <alignment horizontal="center"/>
    </xf>
    <xf numFmtId="41" fontId="5" fillId="0" borderId="0" xfId="0" applyNumberFormat="1" applyFont="1"/>
    <xf numFmtId="164" fontId="0" fillId="4" borderId="6" xfId="2" applyNumberFormat="1" applyFont="1" applyFill="1" applyBorder="1"/>
    <xf numFmtId="0" fontId="11" fillId="0" borderId="0" xfId="0" applyFont="1"/>
    <xf numFmtId="0" fontId="14" fillId="0" borderId="0" xfId="0" applyFont="1"/>
    <xf numFmtId="43" fontId="0" fillId="2" borderId="1" xfId="1" applyFont="1" applyFill="1" applyBorder="1"/>
    <xf numFmtId="0" fontId="0" fillId="0" borderId="0" xfId="0"/>
    <xf numFmtId="0" fontId="0" fillId="0" borderId="0" xfId="0" quotePrefix="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8" fontId="0" fillId="0" borderId="0" xfId="0" applyNumberFormat="1"/>
    <xf numFmtId="8" fontId="0" fillId="0" borderId="0" xfId="0" applyNumberFormat="1"/>
    <xf numFmtId="6" fontId="12" fillId="0" borderId="0" xfId="0" applyNumberFormat="1" applyFont="1"/>
    <xf numFmtId="166" fontId="12" fillId="0" borderId="0" xfId="0" applyNumberFormat="1" applyFont="1"/>
    <xf numFmtId="165" fontId="12" fillId="0" borderId="0" xfId="0" applyNumberFormat="1" applyFont="1"/>
    <xf numFmtId="0" fontId="0" fillId="0" borderId="0" xfId="0"/>
    <xf numFmtId="0" fontId="3" fillId="0" borderId="0" xfId="0" applyFont="1"/>
    <xf numFmtId="0" fontId="3" fillId="0" borderId="0" xfId="0" applyFont="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0" fontId="3" fillId="4" borderId="15" xfId="0" applyFont="1" applyFill="1" applyBorder="1" applyAlignment="1">
      <alignment horizontal="center"/>
    </xf>
    <xf numFmtId="164" fontId="0" fillId="4" borderId="17" xfId="2" applyNumberFormat="1" applyFont="1" applyFill="1" applyBorder="1"/>
    <xf numFmtId="0" fontId="0" fillId="0" borderId="0" xfId="0"/>
    <xf numFmtId="0" fontId="8" fillId="5" borderId="14" xfId="0" quotePrefix="1"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xf numFmtId="0" fontId="0" fillId="0" borderId="0" xfId="0" applyAlignment="1">
      <alignment horizontal="left" vertical="top" wrapText="1"/>
    </xf>
    <xf numFmtId="164" fontId="12" fillId="0" borderId="18" xfId="2" applyNumberFormat="1" applyFont="1" applyBorder="1"/>
    <xf numFmtId="0" fontId="12" fillId="0" borderId="18" xfId="0" applyFont="1" applyBorder="1"/>
    <xf numFmtId="10" fontId="12" fillId="0" borderId="18" xfId="0" applyNumberFormat="1" applyFont="1" applyBorder="1"/>
    <xf numFmtId="164" fontId="12" fillId="0" borderId="0" xfId="2" applyNumberFormat="1" applyFont="1" applyBorder="1"/>
    <xf numFmtId="0" fontId="3" fillId="0" borderId="0" xfId="0" applyFont="1" applyAlignment="1">
      <alignment horizontal="left"/>
    </xf>
    <xf numFmtId="0" fontId="3" fillId="0" borderId="0" xfId="0" applyFont="1" applyAlignment="1">
      <alignment horizontal="left" indent="2"/>
    </xf>
    <xf numFmtId="0" fontId="12" fillId="6" borderId="18" xfId="0" applyFont="1" applyFill="1" applyBorder="1"/>
    <xf numFmtId="0" fontId="3" fillId="4" borderId="19" xfId="0" applyFont="1" applyFill="1" applyBorder="1" applyAlignment="1">
      <alignment horizontal="center"/>
    </xf>
    <xf numFmtId="164" fontId="0" fillId="4" borderId="20" xfId="2" applyNumberFormat="1" applyFont="1" applyFill="1" applyBorder="1"/>
    <xf numFmtId="164" fontId="0" fillId="4" borderId="7" xfId="2" applyNumberFormat="1" applyFont="1" applyFill="1" applyBorder="1"/>
    <xf numFmtId="0" fontId="3" fillId="2" borderId="2" xfId="0" applyFont="1" applyFill="1" applyBorder="1" applyAlignment="1">
      <alignment horizontal="center"/>
    </xf>
    <xf numFmtId="0" fontId="3" fillId="2" borderId="3" xfId="0" applyFont="1" applyFill="1" applyBorder="1" applyAlignment="1">
      <alignment horizontal="center"/>
    </xf>
    <xf numFmtId="0" fontId="0" fillId="0" borderId="0" xfId="0" applyAlignment="1">
      <alignment vertical="center"/>
    </xf>
    <xf numFmtId="0" fontId="0" fillId="0" borderId="0" xfId="0" applyAlignment="1">
      <alignment horizontal="center" vertical="center"/>
    </xf>
    <xf numFmtId="0" fontId="17" fillId="0" borderId="0" xfId="0" applyFont="1"/>
    <xf numFmtId="0" fontId="18" fillId="0" borderId="0" xfId="0" applyFont="1"/>
    <xf numFmtId="0" fontId="19" fillId="0" borderId="0" xfId="0" applyFont="1"/>
    <xf numFmtId="0" fontId="20" fillId="0" borderId="0" xfId="0" applyFont="1"/>
    <xf numFmtId="0" fontId="20" fillId="0" borderId="0" xfId="0" applyFont="1" applyAlignment="1">
      <alignment horizontal="left" indent="2"/>
    </xf>
    <xf numFmtId="0" fontId="3" fillId="2" borderId="14" xfId="0" applyFont="1" applyFill="1" applyBorder="1" applyAlignment="1">
      <alignment horizontal="center" vertical="center"/>
    </xf>
    <xf numFmtId="8" fontId="0" fillId="2" borderId="11" xfId="2" applyNumberFormat="1" applyFont="1" applyFill="1" applyBorder="1"/>
    <xf numFmtId="44" fontId="0" fillId="2" borderId="12" xfId="2" applyFont="1" applyFill="1" applyBorder="1"/>
    <xf numFmtId="41" fontId="7" fillId="0" borderId="8" xfId="0" applyNumberFormat="1" applyFont="1" applyBorder="1" applyAlignment="1">
      <alignment horizontal="center"/>
    </xf>
    <xf numFmtId="41" fontId="8" fillId="5" borderId="14" xfId="0" applyNumberFormat="1" applyFont="1" applyFill="1" applyBorder="1" applyAlignment="1">
      <alignment horizontal="center" vertical="center"/>
    </xf>
    <xf numFmtId="41" fontId="8" fillId="5" borderId="14" xfId="0" quotePrefix="1" applyNumberFormat="1" applyFont="1" applyFill="1" applyBorder="1" applyAlignment="1">
      <alignment horizontal="center" vertical="center"/>
    </xf>
    <xf numFmtId="0" fontId="3" fillId="7" borderId="11"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12" xfId="0" applyFont="1" applyFill="1" applyBorder="1" applyAlignment="1">
      <alignment horizontal="center" vertic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'P4 - 15 Pts'!$D$89</c:f>
              <c:strCache>
                <c:ptCount val="1"/>
                <c:pt idx="0">
                  <c:v>Sales</c:v>
                </c:pt>
              </c:strCache>
            </c:strRef>
          </c:tx>
          <c:spPr>
            <a:ln w="19050" cap="rnd">
              <a:solidFill>
                <a:schemeClr val="dk1">
                  <a:tint val="88500"/>
                </a:schemeClr>
              </a:solidFill>
              <a:round/>
            </a:ln>
            <a:effectLst/>
          </c:spPr>
          <c:marker>
            <c:symbol val="circle"/>
            <c:size val="5"/>
            <c:spPr>
              <a:solidFill>
                <a:schemeClr val="dk1">
                  <a:tint val="88500"/>
                </a:schemeClr>
              </a:solidFill>
              <a:ln w="9525">
                <a:solidFill>
                  <a:schemeClr val="dk1">
                    <a:tint val="88500"/>
                  </a:schemeClr>
                </a:solidFill>
              </a:ln>
              <a:effectLst/>
            </c:spPr>
          </c:marker>
          <c:trendline>
            <c:spPr>
              <a:ln w="25400" cap="rnd">
                <a:solidFill>
                  <a:schemeClr val="tx1"/>
                </a:solidFill>
                <a:prstDash val="sysDot"/>
              </a:ln>
              <a:effectLst/>
            </c:spPr>
            <c:trendlineType val="linear"/>
            <c:forward val="3"/>
            <c:dispRSqr val="0"/>
            <c:dispEq val="0"/>
          </c:trendline>
          <c:xVal>
            <c:numRef>
              <c:f>'P4 - 15 Pts'!$C$90:$C$97</c:f>
              <c:numCache>
                <c:formatCode>General</c:formatCode>
                <c:ptCount val="8"/>
                <c:pt idx="0">
                  <c:v>2005</c:v>
                </c:pt>
                <c:pt idx="1">
                  <c:v>2006</c:v>
                </c:pt>
                <c:pt idx="2">
                  <c:v>2007</c:v>
                </c:pt>
                <c:pt idx="3">
                  <c:v>2008</c:v>
                </c:pt>
                <c:pt idx="4">
                  <c:v>2009</c:v>
                </c:pt>
                <c:pt idx="5">
                  <c:v>2010</c:v>
                </c:pt>
                <c:pt idx="6">
                  <c:v>2011</c:v>
                </c:pt>
                <c:pt idx="7">
                  <c:v>2012</c:v>
                </c:pt>
              </c:numCache>
            </c:numRef>
          </c:xVal>
          <c:yVal>
            <c:numRef>
              <c:f>'P4 - 15 Pts'!$D$90:$D$97</c:f>
              <c:numCache>
                <c:formatCode>_("$"* #,##0_);_("$"* \(#,##0\);_("$"* "-"??_);_(@_)</c:formatCode>
                <c:ptCount val="8"/>
                <c:pt idx="0">
                  <c:v>1345000</c:v>
                </c:pt>
                <c:pt idx="1">
                  <c:v>1472000</c:v>
                </c:pt>
                <c:pt idx="2">
                  <c:v>1725000</c:v>
                </c:pt>
                <c:pt idx="3">
                  <c:v>1654000</c:v>
                </c:pt>
                <c:pt idx="4">
                  <c:v>1925000</c:v>
                </c:pt>
                <c:pt idx="5">
                  <c:v>2164500</c:v>
                </c:pt>
                <c:pt idx="6">
                  <c:v>2045000</c:v>
                </c:pt>
                <c:pt idx="7">
                  <c:v>2450000</c:v>
                </c:pt>
              </c:numCache>
            </c:numRef>
          </c:yVal>
          <c:smooth val="0"/>
        </c:ser>
        <c:dLbls>
          <c:showLegendKey val="0"/>
          <c:showVal val="0"/>
          <c:showCatName val="0"/>
          <c:showSerName val="0"/>
          <c:showPercent val="0"/>
          <c:showBubbleSize val="0"/>
        </c:dLbls>
        <c:axId val="257092080"/>
        <c:axId val="258167312"/>
      </c:scatterChart>
      <c:valAx>
        <c:axId val="257092080"/>
        <c:scaling>
          <c:orientation val="minMax"/>
          <c:max val="2015"/>
          <c:min val="200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58167312"/>
        <c:crosses val="autoZero"/>
        <c:crossBetween val="midCat"/>
        <c:majorUnit val="1"/>
        <c:minorUnit val="1"/>
      </c:valAx>
      <c:valAx>
        <c:axId val="2581673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57092080"/>
        <c:crosses val="autoZero"/>
        <c:crossBetween val="midCat"/>
      </c:valAx>
      <c:spPr>
        <a:noFill/>
        <a:ln>
          <a:solidFill>
            <a:schemeClr val="tx1"/>
          </a:solid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5% and 15%.</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10</xdr:col>
      <xdr:colOff>315058</xdr:colOff>
      <xdr:row>9</xdr:row>
      <xdr:rowOff>124558</xdr:rowOff>
    </xdr:to>
    <xdr:sp macro="" textlink="">
      <xdr:nvSpPr>
        <xdr:cNvPr id="2" name="Line Callout 1 1"/>
        <xdr:cNvSpPr/>
      </xdr:nvSpPr>
      <xdr:spPr>
        <a:xfrm>
          <a:off x="4472629" y="542192"/>
          <a:ext cx="2599226"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editAs="oneCell">
    <xdr:from>
      <xdr:col>1</xdr:col>
      <xdr:colOff>50131</xdr:colOff>
      <xdr:row>47</xdr:row>
      <xdr:rowOff>100263</xdr:rowOff>
    </xdr:from>
    <xdr:to>
      <xdr:col>10</xdr:col>
      <xdr:colOff>508836</xdr:colOff>
      <xdr:row>51</xdr:row>
      <xdr:rowOff>557463</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763" y="10166684"/>
          <a:ext cx="7186362"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280737</xdr:colOff>
      <xdr:row>87</xdr:row>
      <xdr:rowOff>157414</xdr:rowOff>
    </xdr:from>
    <xdr:to>
      <xdr:col>10</xdr:col>
      <xdr:colOff>365961</xdr:colOff>
      <xdr:row>102</xdr:row>
      <xdr:rowOff>13035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xdr:cNvSpPr txBox="1"/>
      </xdr:nvSpPr>
      <xdr:spPr>
        <a:xfrm>
          <a:off x="228599" y="180974"/>
          <a:ext cx="6458227" cy="381676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2013 pro forma income statement and balance sheet for the firm whose 2011 and 2012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2013 is expected to change with sales by 90% of the two-year arithmetic average of the proportion of this item in relation to sales</a:t>
          </a:r>
          <a:r>
            <a:rPr lang="en-US" sz="1100" b="1" baseline="0">
              <a:solidFill>
                <a:schemeClr val="dk1"/>
              </a:solidFill>
              <a:effectLst/>
              <a:latin typeface="+mn-lt"/>
              <a:ea typeface="+mn-ea"/>
              <a:cs typeface="+mn-cs"/>
            </a:rPr>
            <a:t> for 2011 and 2012.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2011 and 2012</a:t>
          </a:r>
          <a:r>
            <a:rPr lang="en-US" sz="1100" b="1">
              <a:solidFill>
                <a:schemeClr val="dk1"/>
              </a:solidFill>
              <a:effectLst/>
              <a:latin typeface="+mn-lt"/>
              <a:ea typeface="+mn-ea"/>
              <a:cs typeface="+mn-cs"/>
            </a:rPr>
            <a:t>.  The firm has planned an investment of $180,000 in new equipment </a:t>
          </a:r>
          <a:r>
            <a:rPr lang="en-US" sz="1100" b="1" baseline="0">
              <a:solidFill>
                <a:schemeClr val="dk1"/>
              </a:solidFill>
              <a:effectLst/>
              <a:latin typeface="+mn-lt"/>
              <a:ea typeface="+mn-ea"/>
              <a:cs typeface="+mn-cs"/>
            </a:rPr>
            <a:t>in 2013.  This equipment will be depreciated at $36,000 per year. Depreciation on existing Plant/Equipment will be the same as it was in 2012.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2013 is computed on the 2012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2013 using the information above, the inputs below, and the values that are given in the statements. The 2013 projected statements should accurately adjust for any changes in the inputs. </a:t>
          </a:r>
          <a:endParaRPr lang="en-US">
            <a:effectLst/>
          </a:endParaRPr>
        </a:p>
        <a:p>
          <a:r>
            <a:rPr lang="en-US" sz="1100" b="1" baseline="0">
              <a:solidFill>
                <a:schemeClr val="dk1"/>
              </a:solidFill>
              <a:effectLst/>
              <a:latin typeface="+mn-lt"/>
              <a:ea typeface="+mn-ea"/>
              <a:cs typeface="+mn-cs"/>
            </a:rPr>
            <a:t>Compute the excess or deficit of financing for 2013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141514</xdr:colOff>
      <xdr:row>15</xdr:row>
      <xdr:rowOff>103414</xdr:rowOff>
    </xdr:from>
    <xdr:to>
      <xdr:col>4</xdr:col>
      <xdr:colOff>1714499</xdr:colOff>
      <xdr:row>20</xdr:row>
      <xdr:rowOff>182547</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585" y="14483443"/>
          <a:ext cx="1572985" cy="1031633"/>
        </a:xfrm>
        <a:prstGeom prst="rect">
          <a:avLst/>
        </a:prstGeom>
        <a:solidFill>
          <a:schemeClr val="bg1"/>
        </a:solidFill>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8"/>
  <sheetViews>
    <sheetView zoomScale="160" zoomScaleNormal="160" workbookViewId="0"/>
  </sheetViews>
  <sheetFormatPr defaultRowHeight="15" x14ac:dyDescent="0.25"/>
  <sheetData>
    <row r="1" spans="2:2" s="113" customFormat="1" x14ac:dyDescent="0.25"/>
    <row r="2" spans="2:2" s="113" customFormat="1" ht="18.75" x14ac:dyDescent="0.3">
      <c r="B2" s="129" t="s">
        <v>204</v>
      </c>
    </row>
    <row r="3" spans="2:2" s="113" customFormat="1" ht="20.25" customHeight="1" x14ac:dyDescent="0.35">
      <c r="B3" s="130" t="s">
        <v>205</v>
      </c>
    </row>
    <row r="4" spans="2:2" s="113" customFormat="1" ht="20.25" customHeight="1" x14ac:dyDescent="0.35">
      <c r="B4" s="131" t="s">
        <v>206</v>
      </c>
    </row>
    <row r="5" spans="2:2" s="113" customFormat="1" ht="19.5" customHeight="1" x14ac:dyDescent="0.35">
      <c r="B5" s="130" t="s">
        <v>104</v>
      </c>
    </row>
    <row r="6" spans="2:2" s="113" customFormat="1" ht="7.15" customHeight="1" x14ac:dyDescent="0.3">
      <c r="B6" s="89"/>
    </row>
    <row r="7" spans="2:2" s="113" customFormat="1" ht="18.75" x14ac:dyDescent="0.3">
      <c r="B7" s="89" t="s">
        <v>53</v>
      </c>
    </row>
    <row r="8" spans="2:2" s="113" customFormat="1" ht="18.75" x14ac:dyDescent="0.3">
      <c r="B8" s="89" t="s">
        <v>54</v>
      </c>
    </row>
    <row r="9" spans="2:2" s="113" customFormat="1" ht="18.75" x14ac:dyDescent="0.3">
      <c r="B9" s="89" t="s">
        <v>55</v>
      </c>
    </row>
    <row r="10" spans="2:2" s="113" customFormat="1" ht="7.15" customHeight="1" x14ac:dyDescent="0.3">
      <c r="B10" s="89"/>
    </row>
    <row r="11" spans="2:2" s="113" customFormat="1" ht="18.75" x14ac:dyDescent="0.3">
      <c r="B11" s="89" t="s">
        <v>102</v>
      </c>
    </row>
    <row r="12" spans="2:2" s="113" customFormat="1" ht="18.75" x14ac:dyDescent="0.3">
      <c r="B12" s="89" t="s">
        <v>103</v>
      </c>
    </row>
    <row r="13" spans="2:2" s="113" customFormat="1" ht="18.75" x14ac:dyDescent="0.3">
      <c r="B13" s="89" t="s">
        <v>114</v>
      </c>
    </row>
    <row r="14" spans="2:2" s="113" customFormat="1" ht="7.15" customHeight="1" x14ac:dyDescent="0.3">
      <c r="B14" s="89"/>
    </row>
    <row r="15" spans="2:2" s="113" customFormat="1" ht="18.75" x14ac:dyDescent="0.3">
      <c r="B15" s="89" t="s">
        <v>56</v>
      </c>
    </row>
    <row r="16" spans="2:2" s="113" customFormat="1" ht="18.75" x14ac:dyDescent="0.3">
      <c r="B16" s="89"/>
    </row>
    <row r="17" spans="2:3" s="132" customFormat="1" ht="15.75" x14ac:dyDescent="0.25">
      <c r="B17" s="132" t="s">
        <v>115</v>
      </c>
    </row>
    <row r="18" spans="2:3" s="132" customFormat="1" ht="16.149999999999999" customHeight="1" x14ac:dyDescent="0.25">
      <c r="B18" s="90"/>
    </row>
    <row r="19" spans="2:3" s="132" customFormat="1" ht="15.75" x14ac:dyDescent="0.25">
      <c r="B19" s="132" t="s">
        <v>57</v>
      </c>
    </row>
    <row r="20" spans="2:3" s="132" customFormat="1" ht="15.75" x14ac:dyDescent="0.25">
      <c r="B20" s="132" t="s">
        <v>116</v>
      </c>
    </row>
    <row r="21" spans="2:3" s="132" customFormat="1" ht="15.75" x14ac:dyDescent="0.25">
      <c r="B21" s="132" t="s">
        <v>144</v>
      </c>
    </row>
    <row r="22" spans="2:3" s="113" customFormat="1" x14ac:dyDescent="0.25"/>
    <row r="23" spans="2:3" s="132" customFormat="1" ht="15.75" x14ac:dyDescent="0.25">
      <c r="B23" s="132" t="s">
        <v>74</v>
      </c>
    </row>
    <row r="24" spans="2:3" s="132" customFormat="1" ht="7.5" customHeight="1" x14ac:dyDescent="0.25"/>
    <row r="25" spans="2:3" s="132" customFormat="1" ht="15.75" x14ac:dyDescent="0.25">
      <c r="C25" s="132" t="s">
        <v>75</v>
      </c>
    </row>
    <row r="26" spans="2:3" s="132" customFormat="1" ht="15.75" x14ac:dyDescent="0.25">
      <c r="C26" s="132" t="s">
        <v>105</v>
      </c>
    </row>
    <row r="27" spans="2:3" s="132" customFormat="1" ht="15.75" x14ac:dyDescent="0.25">
      <c r="C27" s="132" t="s">
        <v>207</v>
      </c>
    </row>
    <row r="28" spans="2:3" s="132" customFormat="1" ht="15.75" x14ac:dyDescent="0.25">
      <c r="C28" s="133"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tabSelected="1" zoomScale="145" zoomScaleNormal="145" workbookViewId="0">
      <selection activeCell="E22" sqref="E22"/>
    </sheetView>
  </sheetViews>
  <sheetFormatPr defaultRowHeight="15" x14ac:dyDescent="0.25"/>
  <cols>
    <col min="1" max="2" width="2.7109375" customWidth="1"/>
    <col min="3" max="6" width="14.7109375" customWidth="1"/>
    <col min="7" max="7" width="16.28515625" customWidth="1"/>
    <col min="8" max="8" width="13.28515625" customWidth="1"/>
    <col min="9" max="9" width="8.7109375" customWidth="1"/>
  </cols>
  <sheetData>
    <row r="5" spans="23:23" ht="75" customHeight="1" x14ac:dyDescent="0.25"/>
    <row r="12" spans="23:23" x14ac:dyDescent="0.25">
      <c r="W12">
        <v>1</v>
      </c>
    </row>
    <row r="18" spans="3:19" x14ac:dyDescent="0.25">
      <c r="C18" s="41"/>
    </row>
    <row r="19" spans="3:19" x14ac:dyDescent="0.25">
      <c r="C19" s="41"/>
    </row>
    <row r="20" spans="3:19" x14ac:dyDescent="0.25">
      <c r="C20" s="16" t="s">
        <v>62</v>
      </c>
    </row>
    <row r="21" spans="3:19" ht="15.75" thickBot="1" x14ac:dyDescent="0.3">
      <c r="C21" s="6" t="s">
        <v>8</v>
      </c>
      <c r="F21" s="2">
        <v>250000</v>
      </c>
      <c r="G21" t="s">
        <v>87</v>
      </c>
      <c r="N21" t="s">
        <v>78</v>
      </c>
      <c r="O21">
        <f>IF(F25="Annual",1,IF(F25="Quarterly",4,12))</f>
        <v>4</v>
      </c>
      <c r="P21">
        <v>1</v>
      </c>
    </row>
    <row r="22" spans="3:19" ht="15.75" thickBot="1" x14ac:dyDescent="0.3">
      <c r="C22" s="41" t="s">
        <v>81</v>
      </c>
      <c r="F22" s="49">
        <v>4</v>
      </c>
      <c r="G22" t="s">
        <v>90</v>
      </c>
      <c r="H22" s="5">
        <f>D31*Term*Periods+F24-F21</f>
        <v>38348.221434102976</v>
      </c>
      <c r="N22" t="s">
        <v>79</v>
      </c>
      <c r="P22">
        <v>2</v>
      </c>
    </row>
    <row r="23" spans="3:19" x14ac:dyDescent="0.25">
      <c r="C23" s="6" t="s">
        <v>9</v>
      </c>
      <c r="F23" s="3">
        <v>5.6000000000000001E-2</v>
      </c>
      <c r="N23" t="s">
        <v>80</v>
      </c>
      <c r="P23">
        <v>3</v>
      </c>
    </row>
    <row r="24" spans="3:19" ht="15.75" thickBot="1" x14ac:dyDescent="0.3">
      <c r="C24" s="6" t="s">
        <v>10</v>
      </c>
      <c r="F24" s="2">
        <v>75000</v>
      </c>
      <c r="G24" t="s">
        <v>88</v>
      </c>
      <c r="P24">
        <v>4</v>
      </c>
    </row>
    <row r="25" spans="3:19" ht="15.75" thickBot="1" x14ac:dyDescent="0.3">
      <c r="C25" s="41" t="s">
        <v>61</v>
      </c>
      <c r="F25" t="s">
        <v>79</v>
      </c>
      <c r="G25" t="s">
        <v>89</v>
      </c>
      <c r="H25" s="54">
        <f>EFFECT(Rate,Periods)</f>
        <v>5.718701441600027E-2</v>
      </c>
      <c r="P25">
        <v>5</v>
      </c>
    </row>
    <row r="26" spans="3:19" ht="4.1500000000000004" customHeight="1" thickBot="1" x14ac:dyDescent="0.3">
      <c r="C26" s="42"/>
      <c r="D26" s="8"/>
      <c r="E26" s="8"/>
      <c r="F26" s="8"/>
      <c r="G26" s="8"/>
      <c r="H26" s="8"/>
      <c r="I26" s="8"/>
      <c r="J26" s="8"/>
      <c r="K26" s="8"/>
      <c r="L26" s="8"/>
      <c r="M26" s="8"/>
      <c r="N26" s="15"/>
      <c r="O26" s="15"/>
      <c r="P26" s="15"/>
      <c r="Q26" s="15"/>
      <c r="R26" s="15"/>
      <c r="S26" s="15"/>
    </row>
    <row r="27" spans="3:19" ht="6" customHeight="1" x14ac:dyDescent="0.25"/>
    <row r="28" spans="3:19" ht="6" customHeight="1" thickBot="1" x14ac:dyDescent="0.3"/>
    <row r="29" spans="3:19" ht="30.75" thickBot="1" x14ac:dyDescent="0.3">
      <c r="C29" s="9" t="s">
        <v>11</v>
      </c>
      <c r="D29" s="10" t="s">
        <v>4</v>
      </c>
      <c r="E29" s="10" t="s">
        <v>12</v>
      </c>
      <c r="F29" s="10" t="s">
        <v>13</v>
      </c>
      <c r="G29" s="11" t="s">
        <v>14</v>
      </c>
    </row>
    <row r="30" spans="3:19" x14ac:dyDescent="0.25">
      <c r="C30" s="12">
        <v>0</v>
      </c>
      <c r="D30" s="13"/>
      <c r="E30" s="13"/>
      <c r="F30" s="13"/>
      <c r="G30" s="50">
        <f>F21</f>
        <v>250000</v>
      </c>
    </row>
    <row r="31" spans="3:19" x14ac:dyDescent="0.25">
      <c r="C31" s="12">
        <v>1</v>
      </c>
      <c r="D31" s="14">
        <f>PMT(Rate/Periods,Term*Periods,-F21,F24)</f>
        <v>13334.263839631436</v>
      </c>
      <c r="E31" s="13">
        <f t="shared" ref="E31:E62" si="0">IF(C31&gt;Term*Periods,"",G30*Rate/Periods)</f>
        <v>3500</v>
      </c>
      <c r="F31" s="14">
        <f t="shared" ref="F31:F62" si="1">IF(C31&gt;Term*Periods,"",D31-E31)</f>
        <v>9834.263839631436</v>
      </c>
      <c r="G31" s="13">
        <f t="shared" ref="G31:G62" si="2">IF(C31&gt;Term*Periods,"",G30-F31)</f>
        <v>240165.73616036857</v>
      </c>
      <c r="K31" t="s">
        <v>15</v>
      </c>
    </row>
    <row r="32" spans="3:19" x14ac:dyDescent="0.25">
      <c r="C32" s="12">
        <v>2</v>
      </c>
      <c r="D32" s="14">
        <f t="shared" ref="D32:D63" si="3">IF(C32&gt;Term*Periods,"",IF(C32=Term*Periods,$D$31+$F$24,$D$31))</f>
        <v>13334.263839631436</v>
      </c>
      <c r="E32" s="13">
        <f t="shared" si="0"/>
        <v>3362.3203062451603</v>
      </c>
      <c r="F32" s="14">
        <f t="shared" si="1"/>
        <v>9971.9435333862748</v>
      </c>
      <c r="G32" s="13">
        <f t="shared" si="2"/>
        <v>230193.79262698229</v>
      </c>
    </row>
    <row r="33" spans="3:7" x14ac:dyDescent="0.25">
      <c r="C33" s="12">
        <v>3</v>
      </c>
      <c r="D33" s="14">
        <f t="shared" si="3"/>
        <v>13334.263839631436</v>
      </c>
      <c r="E33" s="13">
        <f t="shared" si="0"/>
        <v>3222.7130967777521</v>
      </c>
      <c r="F33" s="14">
        <f t="shared" si="1"/>
        <v>10111.550742853684</v>
      </c>
      <c r="G33" s="13">
        <f t="shared" si="2"/>
        <v>220082.2418841286</v>
      </c>
    </row>
    <row r="34" spans="3:7" x14ac:dyDescent="0.25">
      <c r="C34" s="12">
        <v>4</v>
      </c>
      <c r="D34" s="14">
        <f t="shared" si="3"/>
        <v>13334.263839631436</v>
      </c>
      <c r="E34" s="13">
        <f t="shared" si="0"/>
        <v>3081.1513863778005</v>
      </c>
      <c r="F34" s="14">
        <f t="shared" si="1"/>
        <v>10253.112453253636</v>
      </c>
      <c r="G34" s="13">
        <f t="shared" si="2"/>
        <v>209829.12943087495</v>
      </c>
    </row>
    <row r="35" spans="3:7" x14ac:dyDescent="0.25">
      <c r="C35" s="12">
        <v>5</v>
      </c>
      <c r="D35" s="14">
        <f t="shared" si="3"/>
        <v>13334.263839631436</v>
      </c>
      <c r="E35" s="13">
        <f t="shared" si="0"/>
        <v>2937.6078120322495</v>
      </c>
      <c r="F35" s="14">
        <f t="shared" si="1"/>
        <v>10396.656027599187</v>
      </c>
      <c r="G35" s="13">
        <f t="shared" si="2"/>
        <v>199432.47340327577</v>
      </c>
    </row>
    <row r="36" spans="3:7" x14ac:dyDescent="0.25">
      <c r="C36" s="12">
        <v>6</v>
      </c>
      <c r="D36" s="14">
        <f t="shared" si="3"/>
        <v>13334.263839631436</v>
      </c>
      <c r="E36" s="13">
        <f t="shared" si="0"/>
        <v>2792.0546276458608</v>
      </c>
      <c r="F36" s="14">
        <f t="shared" si="1"/>
        <v>10542.209211985575</v>
      </c>
      <c r="G36" s="13">
        <f t="shared" si="2"/>
        <v>188890.26419129019</v>
      </c>
    </row>
    <row r="37" spans="3:7" x14ac:dyDescent="0.25">
      <c r="C37" s="12">
        <v>7</v>
      </c>
      <c r="D37" s="14">
        <f t="shared" si="3"/>
        <v>13334.263839631436</v>
      </c>
      <c r="E37" s="13">
        <f t="shared" si="0"/>
        <v>2644.4636986780629</v>
      </c>
      <c r="F37" s="14">
        <f t="shared" si="1"/>
        <v>10689.800140953374</v>
      </c>
      <c r="G37" s="13">
        <f t="shared" si="2"/>
        <v>178200.46405033683</v>
      </c>
    </row>
    <row r="38" spans="3:7" x14ac:dyDescent="0.25">
      <c r="C38" s="12">
        <v>8</v>
      </c>
      <c r="D38" s="14">
        <f t="shared" si="3"/>
        <v>13334.263839631436</v>
      </c>
      <c r="E38" s="13">
        <f t="shared" si="0"/>
        <v>2494.8064967047158</v>
      </c>
      <c r="F38" s="14">
        <f t="shared" si="1"/>
        <v>10839.45734292672</v>
      </c>
      <c r="G38" s="13">
        <f t="shared" si="2"/>
        <v>167361.0067074101</v>
      </c>
    </row>
    <row r="39" spans="3:7" x14ac:dyDescent="0.25">
      <c r="C39" s="12">
        <v>9</v>
      </c>
      <c r="D39" s="14">
        <f t="shared" si="3"/>
        <v>13334.263839631436</v>
      </c>
      <c r="E39" s="13">
        <f t="shared" si="0"/>
        <v>2343.0540939037414</v>
      </c>
      <c r="F39" s="14">
        <f t="shared" si="1"/>
        <v>10991.209745727694</v>
      </c>
      <c r="G39" s="13">
        <f t="shared" si="2"/>
        <v>156369.79696168241</v>
      </c>
    </row>
    <row r="40" spans="3:7" x14ac:dyDescent="0.25">
      <c r="C40" s="12">
        <v>10</v>
      </c>
      <c r="D40" s="14">
        <f t="shared" si="3"/>
        <v>13334.263839631436</v>
      </c>
      <c r="E40" s="13">
        <f t="shared" si="0"/>
        <v>2189.1771574635536</v>
      </c>
      <c r="F40" s="14">
        <f t="shared" si="1"/>
        <v>11145.086682167883</v>
      </c>
      <c r="G40" s="13">
        <f t="shared" si="2"/>
        <v>145224.71027951452</v>
      </c>
    </row>
    <row r="41" spans="3:7" x14ac:dyDescent="0.25">
      <c r="C41" s="12">
        <v>11</v>
      </c>
      <c r="D41" s="14">
        <f t="shared" si="3"/>
        <v>13334.263839631436</v>
      </c>
      <c r="E41" s="13">
        <f t="shared" si="0"/>
        <v>2033.1459439132034</v>
      </c>
      <c r="F41" s="14">
        <f t="shared" si="1"/>
        <v>11301.117895718233</v>
      </c>
      <c r="G41" s="13">
        <f t="shared" si="2"/>
        <v>133923.59238379629</v>
      </c>
    </row>
    <row r="42" spans="3:7" x14ac:dyDescent="0.25">
      <c r="C42" s="12">
        <v>12</v>
      </c>
      <c r="D42" s="14">
        <f t="shared" si="3"/>
        <v>13334.263839631436</v>
      </c>
      <c r="E42" s="13">
        <f t="shared" si="0"/>
        <v>1874.9302933731481</v>
      </c>
      <c r="F42" s="14">
        <f t="shared" si="1"/>
        <v>11459.333546258287</v>
      </c>
      <c r="G42" s="13">
        <f t="shared" si="2"/>
        <v>122464.258837538</v>
      </c>
    </row>
    <row r="43" spans="3:7" x14ac:dyDescent="0.25">
      <c r="C43" s="12">
        <v>13</v>
      </c>
      <c r="D43" s="14">
        <f t="shared" si="3"/>
        <v>13334.263839631436</v>
      </c>
      <c r="E43" s="13">
        <f t="shared" si="0"/>
        <v>1714.499623725532</v>
      </c>
      <c r="F43" s="14">
        <f t="shared" si="1"/>
        <v>11619.764215905903</v>
      </c>
      <c r="G43" s="13">
        <f t="shared" si="2"/>
        <v>110844.4946216321</v>
      </c>
    </row>
    <row r="44" spans="3:7" x14ac:dyDescent="0.25">
      <c r="C44" s="12">
        <v>14</v>
      </c>
      <c r="D44" s="14">
        <f t="shared" si="3"/>
        <v>13334.263839631436</v>
      </c>
      <c r="E44" s="13">
        <f t="shared" si="0"/>
        <v>1551.8229247028494</v>
      </c>
      <c r="F44" s="14">
        <f t="shared" si="1"/>
        <v>11782.440914928586</v>
      </c>
      <c r="G44" s="13">
        <f t="shared" si="2"/>
        <v>99062.053706703504</v>
      </c>
    </row>
    <row r="45" spans="3:7" x14ac:dyDescent="0.25">
      <c r="C45" s="12">
        <v>15</v>
      </c>
      <c r="D45" s="14">
        <f t="shared" si="3"/>
        <v>13334.263839631436</v>
      </c>
      <c r="E45" s="13">
        <f t="shared" si="0"/>
        <v>1386.8687518938491</v>
      </c>
      <c r="F45" s="14">
        <f t="shared" si="1"/>
        <v>11947.395087737586</v>
      </c>
      <c r="G45" s="13">
        <f t="shared" si="2"/>
        <v>87114.658618965914</v>
      </c>
    </row>
    <row r="46" spans="3:7" x14ac:dyDescent="0.25">
      <c r="C46" s="12">
        <v>16</v>
      </c>
      <c r="D46" s="14">
        <f t="shared" si="3"/>
        <v>88334.263839631429</v>
      </c>
      <c r="E46" s="13">
        <f t="shared" si="0"/>
        <v>1219.6052206655229</v>
      </c>
      <c r="F46" s="14">
        <f t="shared" si="1"/>
        <v>87114.658618965899</v>
      </c>
      <c r="G46" s="13">
        <f t="shared" si="2"/>
        <v>1.4551915228366852E-11</v>
      </c>
    </row>
    <row r="47" spans="3:7" x14ac:dyDescent="0.25">
      <c r="C47" s="12">
        <v>17</v>
      </c>
      <c r="D47" s="14" t="str">
        <f t="shared" si="3"/>
        <v/>
      </c>
      <c r="E47" s="13" t="str">
        <f t="shared" si="0"/>
        <v/>
      </c>
      <c r="F47" s="14" t="str">
        <f t="shared" si="1"/>
        <v/>
      </c>
      <c r="G47" s="13" t="str">
        <f t="shared" si="2"/>
        <v/>
      </c>
    </row>
    <row r="48" spans="3:7" x14ac:dyDescent="0.25">
      <c r="C48" s="12">
        <v>18</v>
      </c>
      <c r="D48" s="14" t="str">
        <f t="shared" si="3"/>
        <v/>
      </c>
      <c r="E48" s="13" t="str">
        <f t="shared" si="0"/>
        <v/>
      </c>
      <c r="F48" s="14" t="str">
        <f t="shared" si="1"/>
        <v/>
      </c>
      <c r="G48" s="13" t="str">
        <f t="shared" si="2"/>
        <v/>
      </c>
    </row>
    <row r="49" spans="3:7" x14ac:dyDescent="0.25">
      <c r="C49" s="12">
        <v>19</v>
      </c>
      <c r="D49" s="14" t="str">
        <f t="shared" si="3"/>
        <v/>
      </c>
      <c r="E49" s="13" t="str">
        <f t="shared" si="0"/>
        <v/>
      </c>
      <c r="F49" s="14" t="str">
        <f t="shared" si="1"/>
        <v/>
      </c>
      <c r="G49" s="13" t="str">
        <f t="shared" si="2"/>
        <v/>
      </c>
    </row>
    <row r="50" spans="3:7" x14ac:dyDescent="0.25">
      <c r="C50" s="12">
        <v>20</v>
      </c>
      <c r="D50" s="14" t="str">
        <f t="shared" si="3"/>
        <v/>
      </c>
      <c r="E50" s="13" t="str">
        <f t="shared" si="0"/>
        <v/>
      </c>
      <c r="F50" s="14" t="str">
        <f t="shared" si="1"/>
        <v/>
      </c>
      <c r="G50" s="13" t="str">
        <f t="shared" si="2"/>
        <v/>
      </c>
    </row>
    <row r="51" spans="3:7" x14ac:dyDescent="0.25">
      <c r="C51" s="12">
        <v>21</v>
      </c>
      <c r="D51" s="14" t="str">
        <f t="shared" si="3"/>
        <v/>
      </c>
      <c r="E51" s="13" t="str">
        <f t="shared" si="0"/>
        <v/>
      </c>
      <c r="F51" s="14" t="str">
        <f t="shared" si="1"/>
        <v/>
      </c>
      <c r="G51" s="13" t="str">
        <f t="shared" si="2"/>
        <v/>
      </c>
    </row>
    <row r="52" spans="3:7" x14ac:dyDescent="0.25">
      <c r="C52" s="12">
        <v>22</v>
      </c>
      <c r="D52" s="14" t="str">
        <f t="shared" si="3"/>
        <v/>
      </c>
      <c r="E52" s="13" t="str">
        <f t="shared" si="0"/>
        <v/>
      </c>
      <c r="F52" s="14" t="str">
        <f t="shared" si="1"/>
        <v/>
      </c>
      <c r="G52" s="13" t="str">
        <f t="shared" si="2"/>
        <v/>
      </c>
    </row>
    <row r="53" spans="3:7" x14ac:dyDescent="0.25">
      <c r="C53" s="12">
        <v>23</v>
      </c>
      <c r="D53" s="14" t="str">
        <f t="shared" si="3"/>
        <v/>
      </c>
      <c r="E53" s="13" t="str">
        <f t="shared" si="0"/>
        <v/>
      </c>
      <c r="F53" s="14" t="str">
        <f t="shared" si="1"/>
        <v/>
      </c>
      <c r="G53" s="13" t="str">
        <f t="shared" si="2"/>
        <v/>
      </c>
    </row>
    <row r="54" spans="3:7" x14ac:dyDescent="0.25">
      <c r="C54" s="12">
        <v>24</v>
      </c>
      <c r="D54" s="14" t="str">
        <f t="shared" si="3"/>
        <v/>
      </c>
      <c r="E54" s="13" t="str">
        <f t="shared" si="0"/>
        <v/>
      </c>
      <c r="F54" s="14" t="str">
        <f t="shared" si="1"/>
        <v/>
      </c>
      <c r="G54" s="13" t="str">
        <f t="shared" si="2"/>
        <v/>
      </c>
    </row>
    <row r="55" spans="3:7" x14ac:dyDescent="0.25">
      <c r="C55" s="12">
        <v>25</v>
      </c>
      <c r="D55" s="14" t="str">
        <f t="shared" si="3"/>
        <v/>
      </c>
      <c r="E55" s="13" t="str">
        <f t="shared" si="0"/>
        <v/>
      </c>
      <c r="F55" s="14" t="str">
        <f t="shared" si="1"/>
        <v/>
      </c>
      <c r="G55" s="13" t="str">
        <f t="shared" si="2"/>
        <v/>
      </c>
    </row>
    <row r="56" spans="3:7" x14ac:dyDescent="0.25">
      <c r="C56" s="12">
        <v>26</v>
      </c>
      <c r="D56" s="14" t="str">
        <f t="shared" si="3"/>
        <v/>
      </c>
      <c r="E56" s="13" t="str">
        <f t="shared" si="0"/>
        <v/>
      </c>
      <c r="F56" s="14" t="str">
        <f t="shared" si="1"/>
        <v/>
      </c>
      <c r="G56" s="13" t="str">
        <f t="shared" si="2"/>
        <v/>
      </c>
    </row>
    <row r="57" spans="3:7" x14ac:dyDescent="0.25">
      <c r="C57" s="12">
        <v>27</v>
      </c>
      <c r="D57" s="14" t="str">
        <f t="shared" si="3"/>
        <v/>
      </c>
      <c r="E57" s="13" t="str">
        <f t="shared" si="0"/>
        <v/>
      </c>
      <c r="F57" s="14" t="str">
        <f t="shared" si="1"/>
        <v/>
      </c>
      <c r="G57" s="13" t="str">
        <f t="shared" si="2"/>
        <v/>
      </c>
    </row>
    <row r="58" spans="3:7" x14ac:dyDescent="0.25">
      <c r="C58" s="12">
        <v>28</v>
      </c>
      <c r="D58" s="14" t="str">
        <f t="shared" si="3"/>
        <v/>
      </c>
      <c r="E58" s="13" t="str">
        <f t="shared" si="0"/>
        <v/>
      </c>
      <c r="F58" s="14" t="str">
        <f t="shared" si="1"/>
        <v/>
      </c>
      <c r="G58" s="13" t="str">
        <f t="shared" si="2"/>
        <v/>
      </c>
    </row>
    <row r="59" spans="3:7" x14ac:dyDescent="0.25">
      <c r="C59" s="12">
        <v>29</v>
      </c>
      <c r="D59" s="14" t="str">
        <f t="shared" si="3"/>
        <v/>
      </c>
      <c r="E59" s="13" t="str">
        <f t="shared" si="0"/>
        <v/>
      </c>
      <c r="F59" s="14" t="str">
        <f t="shared" si="1"/>
        <v/>
      </c>
      <c r="G59" s="13" t="str">
        <f t="shared" si="2"/>
        <v/>
      </c>
    </row>
    <row r="60" spans="3:7" x14ac:dyDescent="0.25">
      <c r="C60" s="12">
        <v>30</v>
      </c>
      <c r="D60" s="14" t="str">
        <f t="shared" si="3"/>
        <v/>
      </c>
      <c r="E60" s="13" t="str">
        <f t="shared" si="0"/>
        <v/>
      </c>
      <c r="F60" s="14" t="str">
        <f t="shared" si="1"/>
        <v/>
      </c>
      <c r="G60" s="13" t="str">
        <f t="shared" si="2"/>
        <v/>
      </c>
    </row>
    <row r="61" spans="3:7" x14ac:dyDescent="0.25">
      <c r="C61" s="12">
        <v>31</v>
      </c>
      <c r="D61" s="14" t="str">
        <f t="shared" si="3"/>
        <v/>
      </c>
      <c r="E61" s="13" t="str">
        <f t="shared" si="0"/>
        <v/>
      </c>
      <c r="F61" s="14" t="str">
        <f t="shared" si="1"/>
        <v/>
      </c>
      <c r="G61" s="13" t="str">
        <f t="shared" si="2"/>
        <v/>
      </c>
    </row>
    <row r="62" spans="3:7" x14ac:dyDescent="0.25">
      <c r="C62" s="12">
        <v>32</v>
      </c>
      <c r="D62" s="14" t="str">
        <f t="shared" si="3"/>
        <v/>
      </c>
      <c r="E62" s="13" t="str">
        <f t="shared" si="0"/>
        <v/>
      </c>
      <c r="F62" s="14" t="str">
        <f t="shared" si="1"/>
        <v/>
      </c>
      <c r="G62" s="13" t="str">
        <f t="shared" si="2"/>
        <v/>
      </c>
    </row>
    <row r="63" spans="3:7" x14ac:dyDescent="0.25">
      <c r="C63" s="12">
        <v>33</v>
      </c>
      <c r="D63" s="14" t="str">
        <f t="shared" si="3"/>
        <v/>
      </c>
      <c r="E63" s="13" t="str">
        <f t="shared" ref="E63:E90" si="4">IF(C63&gt;Term*Periods,"",G62*Rate/Periods)</f>
        <v/>
      </c>
      <c r="F63" s="14" t="str">
        <f t="shared" ref="F63:F90" si="5">IF(C63&gt;Term*Periods,"",D63-E63)</f>
        <v/>
      </c>
      <c r="G63" s="13" t="str">
        <f t="shared" ref="G63:G90" si="6">IF(C63&gt;Term*Periods,"",G62-F63)</f>
        <v/>
      </c>
    </row>
    <row r="64" spans="3:7" x14ac:dyDescent="0.25">
      <c r="C64" s="12">
        <v>34</v>
      </c>
      <c r="D64" s="14" t="str">
        <f t="shared" ref="D64:D90" si="7">IF(C64&gt;Term*Periods,"",IF(C64=Term*Periods,$D$31+$F$24,$D$31))</f>
        <v/>
      </c>
      <c r="E64" s="13" t="str">
        <f t="shared" si="4"/>
        <v/>
      </c>
      <c r="F64" s="14" t="str">
        <f t="shared" si="5"/>
        <v/>
      </c>
      <c r="G64" s="13" t="str">
        <f t="shared" si="6"/>
        <v/>
      </c>
    </row>
    <row r="65" spans="3:7" x14ac:dyDescent="0.25">
      <c r="C65" s="12">
        <v>35</v>
      </c>
      <c r="D65" s="14" t="str">
        <f t="shared" si="7"/>
        <v/>
      </c>
      <c r="E65" s="13" t="str">
        <f t="shared" si="4"/>
        <v/>
      </c>
      <c r="F65" s="14" t="str">
        <f t="shared" si="5"/>
        <v/>
      </c>
      <c r="G65" s="13" t="str">
        <f t="shared" si="6"/>
        <v/>
      </c>
    </row>
    <row r="66" spans="3:7" x14ac:dyDescent="0.25">
      <c r="C66" s="12">
        <v>36</v>
      </c>
      <c r="D66" s="14" t="str">
        <f t="shared" si="7"/>
        <v/>
      </c>
      <c r="E66" s="13" t="str">
        <f t="shared" si="4"/>
        <v/>
      </c>
      <c r="F66" s="14" t="str">
        <f t="shared" si="5"/>
        <v/>
      </c>
      <c r="G66" s="13" t="str">
        <f t="shared" si="6"/>
        <v/>
      </c>
    </row>
    <row r="67" spans="3:7" x14ac:dyDescent="0.25">
      <c r="C67" s="12">
        <v>37</v>
      </c>
      <c r="D67" s="14" t="str">
        <f t="shared" si="7"/>
        <v/>
      </c>
      <c r="E67" s="13" t="str">
        <f t="shared" si="4"/>
        <v/>
      </c>
      <c r="F67" s="14" t="str">
        <f t="shared" si="5"/>
        <v/>
      </c>
      <c r="G67" s="13" t="str">
        <f t="shared" si="6"/>
        <v/>
      </c>
    </row>
    <row r="68" spans="3:7" x14ac:dyDescent="0.25">
      <c r="C68" s="12">
        <v>38</v>
      </c>
      <c r="D68" s="14" t="str">
        <f t="shared" si="7"/>
        <v/>
      </c>
      <c r="E68" s="13" t="str">
        <f t="shared" si="4"/>
        <v/>
      </c>
      <c r="F68" s="14" t="str">
        <f t="shared" si="5"/>
        <v/>
      </c>
      <c r="G68" s="13" t="str">
        <f t="shared" si="6"/>
        <v/>
      </c>
    </row>
    <row r="69" spans="3:7" x14ac:dyDescent="0.25">
      <c r="C69" s="12">
        <v>39</v>
      </c>
      <c r="D69" s="14" t="str">
        <f t="shared" si="7"/>
        <v/>
      </c>
      <c r="E69" s="13" t="str">
        <f t="shared" si="4"/>
        <v/>
      </c>
      <c r="F69" s="14" t="str">
        <f t="shared" si="5"/>
        <v/>
      </c>
      <c r="G69" s="13" t="str">
        <f t="shared" si="6"/>
        <v/>
      </c>
    </row>
    <row r="70" spans="3:7" x14ac:dyDescent="0.25">
      <c r="C70" s="12">
        <v>40</v>
      </c>
      <c r="D70" s="14" t="str">
        <f t="shared" si="7"/>
        <v/>
      </c>
      <c r="E70" s="13" t="str">
        <f t="shared" si="4"/>
        <v/>
      </c>
      <c r="F70" s="14" t="str">
        <f t="shared" si="5"/>
        <v/>
      </c>
      <c r="G70" s="13" t="str">
        <f t="shared" si="6"/>
        <v/>
      </c>
    </row>
    <row r="71" spans="3:7" x14ac:dyDescent="0.25">
      <c r="C71" s="12">
        <v>41</v>
      </c>
      <c r="D71" s="14" t="str">
        <f t="shared" si="7"/>
        <v/>
      </c>
      <c r="E71" s="13" t="str">
        <f t="shared" si="4"/>
        <v/>
      </c>
      <c r="F71" s="14" t="str">
        <f t="shared" si="5"/>
        <v/>
      </c>
      <c r="G71" s="13" t="str">
        <f t="shared" si="6"/>
        <v/>
      </c>
    </row>
    <row r="72" spans="3:7" x14ac:dyDescent="0.25">
      <c r="C72" s="12">
        <v>42</v>
      </c>
      <c r="D72" s="14" t="str">
        <f t="shared" si="7"/>
        <v/>
      </c>
      <c r="E72" s="13" t="str">
        <f t="shared" si="4"/>
        <v/>
      </c>
      <c r="F72" s="14" t="str">
        <f t="shared" si="5"/>
        <v/>
      </c>
      <c r="G72" s="13" t="str">
        <f t="shared" si="6"/>
        <v/>
      </c>
    </row>
    <row r="73" spans="3:7" x14ac:dyDescent="0.25">
      <c r="C73" s="12">
        <v>43</v>
      </c>
      <c r="D73" s="14" t="str">
        <f t="shared" si="7"/>
        <v/>
      </c>
      <c r="E73" s="13" t="str">
        <f t="shared" si="4"/>
        <v/>
      </c>
      <c r="F73" s="14" t="str">
        <f t="shared" si="5"/>
        <v/>
      </c>
      <c r="G73" s="13" t="str">
        <f t="shared" si="6"/>
        <v/>
      </c>
    </row>
    <row r="74" spans="3:7" x14ac:dyDescent="0.25">
      <c r="C74" s="12">
        <v>44</v>
      </c>
      <c r="D74" s="14" t="str">
        <f t="shared" si="7"/>
        <v/>
      </c>
      <c r="E74" s="13" t="str">
        <f t="shared" si="4"/>
        <v/>
      </c>
      <c r="F74" s="14" t="str">
        <f t="shared" si="5"/>
        <v/>
      </c>
      <c r="G74" s="13" t="str">
        <f t="shared" si="6"/>
        <v/>
      </c>
    </row>
    <row r="75" spans="3:7" x14ac:dyDescent="0.25">
      <c r="C75" s="12">
        <v>45</v>
      </c>
      <c r="D75" s="14" t="str">
        <f t="shared" si="7"/>
        <v/>
      </c>
      <c r="E75" s="13" t="str">
        <f t="shared" si="4"/>
        <v/>
      </c>
      <c r="F75" s="14" t="str">
        <f t="shared" si="5"/>
        <v/>
      </c>
      <c r="G75" s="13" t="str">
        <f t="shared" si="6"/>
        <v/>
      </c>
    </row>
    <row r="76" spans="3:7" x14ac:dyDescent="0.25">
      <c r="C76" s="12">
        <v>46</v>
      </c>
      <c r="D76" s="14" t="str">
        <f t="shared" si="7"/>
        <v/>
      </c>
      <c r="E76" s="13" t="str">
        <f t="shared" si="4"/>
        <v/>
      </c>
      <c r="F76" s="14" t="str">
        <f t="shared" si="5"/>
        <v/>
      </c>
      <c r="G76" s="13" t="str">
        <f t="shared" si="6"/>
        <v/>
      </c>
    </row>
    <row r="77" spans="3:7" x14ac:dyDescent="0.25">
      <c r="C77" s="12">
        <v>47</v>
      </c>
      <c r="D77" s="14" t="str">
        <f t="shared" si="7"/>
        <v/>
      </c>
      <c r="E77" s="13" t="str">
        <f t="shared" si="4"/>
        <v/>
      </c>
      <c r="F77" s="14" t="str">
        <f t="shared" si="5"/>
        <v/>
      </c>
      <c r="G77" s="13" t="str">
        <f t="shared" si="6"/>
        <v/>
      </c>
    </row>
    <row r="78" spans="3:7" x14ac:dyDescent="0.25">
      <c r="C78" s="12">
        <v>48</v>
      </c>
      <c r="D78" s="14" t="str">
        <f t="shared" si="7"/>
        <v/>
      </c>
      <c r="E78" s="13" t="str">
        <f t="shared" si="4"/>
        <v/>
      </c>
      <c r="F78" s="14" t="str">
        <f t="shared" si="5"/>
        <v/>
      </c>
      <c r="G78" s="13" t="str">
        <f t="shared" si="6"/>
        <v/>
      </c>
    </row>
    <row r="79" spans="3:7" x14ac:dyDescent="0.25">
      <c r="C79" s="12">
        <v>49</v>
      </c>
      <c r="D79" s="14" t="str">
        <f t="shared" si="7"/>
        <v/>
      </c>
      <c r="E79" s="13" t="str">
        <f t="shared" si="4"/>
        <v/>
      </c>
      <c r="F79" s="14" t="str">
        <f t="shared" si="5"/>
        <v/>
      </c>
      <c r="G79" s="13" t="str">
        <f t="shared" si="6"/>
        <v/>
      </c>
    </row>
    <row r="80" spans="3:7" x14ac:dyDescent="0.25">
      <c r="C80" s="12">
        <v>50</v>
      </c>
      <c r="D80" s="14" t="str">
        <f t="shared" si="7"/>
        <v/>
      </c>
      <c r="E80" s="13" t="str">
        <f t="shared" si="4"/>
        <v/>
      </c>
      <c r="F80" s="14" t="str">
        <f t="shared" si="5"/>
        <v/>
      </c>
      <c r="G80" s="13" t="str">
        <f t="shared" si="6"/>
        <v/>
      </c>
    </row>
    <row r="81" spans="3:7" x14ac:dyDescent="0.25">
      <c r="C81" s="12">
        <v>51</v>
      </c>
      <c r="D81" s="14" t="str">
        <f t="shared" si="7"/>
        <v/>
      </c>
      <c r="E81" s="13" t="str">
        <f t="shared" si="4"/>
        <v/>
      </c>
      <c r="F81" s="14" t="str">
        <f t="shared" si="5"/>
        <v/>
      </c>
      <c r="G81" s="13" t="str">
        <f t="shared" si="6"/>
        <v/>
      </c>
    </row>
    <row r="82" spans="3:7" x14ac:dyDescent="0.25">
      <c r="C82" s="12">
        <v>52</v>
      </c>
      <c r="D82" s="14" t="str">
        <f t="shared" si="7"/>
        <v/>
      </c>
      <c r="E82" s="13" t="str">
        <f t="shared" si="4"/>
        <v/>
      </c>
      <c r="F82" s="14" t="str">
        <f t="shared" si="5"/>
        <v/>
      </c>
      <c r="G82" s="13" t="str">
        <f t="shared" si="6"/>
        <v/>
      </c>
    </row>
    <row r="83" spans="3:7" x14ac:dyDescent="0.25">
      <c r="C83" s="12">
        <v>53</v>
      </c>
      <c r="D83" s="14" t="str">
        <f t="shared" si="7"/>
        <v/>
      </c>
      <c r="E83" s="13" t="str">
        <f t="shared" si="4"/>
        <v/>
      </c>
      <c r="F83" s="14" t="str">
        <f t="shared" si="5"/>
        <v/>
      </c>
      <c r="G83" s="13" t="str">
        <f t="shared" si="6"/>
        <v/>
      </c>
    </row>
    <row r="84" spans="3:7" x14ac:dyDescent="0.25">
      <c r="C84" s="12">
        <v>54</v>
      </c>
      <c r="D84" s="14" t="str">
        <f t="shared" si="7"/>
        <v/>
      </c>
      <c r="E84" s="13" t="str">
        <f t="shared" si="4"/>
        <v/>
      </c>
      <c r="F84" s="14" t="str">
        <f t="shared" si="5"/>
        <v/>
      </c>
      <c r="G84" s="13" t="str">
        <f t="shared" si="6"/>
        <v/>
      </c>
    </row>
    <row r="85" spans="3:7" x14ac:dyDescent="0.25">
      <c r="C85" s="12">
        <v>55</v>
      </c>
      <c r="D85" s="14" t="str">
        <f t="shared" si="7"/>
        <v/>
      </c>
      <c r="E85" s="13" t="str">
        <f t="shared" si="4"/>
        <v/>
      </c>
      <c r="F85" s="14" t="str">
        <f t="shared" si="5"/>
        <v/>
      </c>
      <c r="G85" s="13" t="str">
        <f t="shared" si="6"/>
        <v/>
      </c>
    </row>
    <row r="86" spans="3:7" x14ac:dyDescent="0.25">
      <c r="C86" s="12">
        <v>56</v>
      </c>
      <c r="D86" s="14" t="str">
        <f t="shared" si="7"/>
        <v/>
      </c>
      <c r="E86" s="13" t="str">
        <f t="shared" si="4"/>
        <v/>
      </c>
      <c r="F86" s="14" t="str">
        <f t="shared" si="5"/>
        <v/>
      </c>
      <c r="G86" s="13" t="str">
        <f t="shared" si="6"/>
        <v/>
      </c>
    </row>
    <row r="87" spans="3:7" x14ac:dyDescent="0.25">
      <c r="C87" s="12">
        <v>57</v>
      </c>
      <c r="D87" s="14" t="str">
        <f t="shared" si="7"/>
        <v/>
      </c>
      <c r="E87" s="13" t="str">
        <f t="shared" si="4"/>
        <v/>
      </c>
      <c r="F87" s="14" t="str">
        <f t="shared" si="5"/>
        <v/>
      </c>
      <c r="G87" s="13" t="str">
        <f t="shared" si="6"/>
        <v/>
      </c>
    </row>
    <row r="88" spans="3:7" x14ac:dyDescent="0.25">
      <c r="C88" s="12">
        <v>58</v>
      </c>
      <c r="D88" s="14" t="str">
        <f t="shared" si="7"/>
        <v/>
      </c>
      <c r="E88" s="13" t="str">
        <f t="shared" si="4"/>
        <v/>
      </c>
      <c r="F88" s="14" t="str">
        <f t="shared" si="5"/>
        <v/>
      </c>
      <c r="G88" s="13" t="str">
        <f t="shared" si="6"/>
        <v/>
      </c>
    </row>
    <row r="89" spans="3:7" x14ac:dyDescent="0.25">
      <c r="C89" s="12">
        <v>59</v>
      </c>
      <c r="D89" s="14" t="str">
        <f t="shared" si="7"/>
        <v/>
      </c>
      <c r="E89" s="13" t="str">
        <f t="shared" si="4"/>
        <v/>
      </c>
      <c r="F89" s="14" t="str">
        <f t="shared" si="5"/>
        <v/>
      </c>
      <c r="G89" s="13" t="str">
        <f t="shared" si="6"/>
        <v/>
      </c>
    </row>
    <row r="90" spans="3:7" x14ac:dyDescent="0.25">
      <c r="C90" s="12">
        <v>60</v>
      </c>
      <c r="D90" s="14" t="str">
        <f t="shared" si="7"/>
        <v/>
      </c>
      <c r="E90" s="13" t="str">
        <f t="shared" si="4"/>
        <v/>
      </c>
      <c r="F90" s="14" t="str">
        <f t="shared" si="5"/>
        <v/>
      </c>
      <c r="G90" s="13" t="str">
        <f t="shared" si="6"/>
        <v/>
      </c>
    </row>
  </sheetData>
  <dataValidations count="5">
    <dataValidation type="list" allowBlank="1" showInputMessage="1" showErrorMessage="1" sqref="F25">
      <formula1>$N$21:$N$23</formula1>
    </dataValidation>
    <dataValidation type="list" allowBlank="1" showInputMessage="1" showErrorMessage="1" prompt="Select a value from the drop-down list._x000a_" sqref="F22">
      <formula1>$P$21:$P$25</formula1>
    </dataValidation>
    <dataValidation type="whole" operator="greaterThan" allowBlank="1" showInputMessage="1" showErrorMessage="1" prompt="This value must be a positive number greater than zero." sqref="F21">
      <formula1>0</formula1>
    </dataValidation>
    <dataValidation type="decimal" allowBlank="1" showInputMessage="1" showErrorMessage="1" prompt="This interest rate must be between 5% and 15%." sqref="F23">
      <formula1>0.05</formula1>
      <formula2>0.15</formula2>
    </dataValidation>
    <dataValidation type="whole" allowBlank="1" showInputMessage="1" showErrorMessage="1" prompt="This input must be between zero and the total amount of the loan." sqref="F24">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90" zoomScaleNormal="190" workbookViewId="0"/>
  </sheetViews>
  <sheetFormatPr defaultColWidth="8.7109375" defaultRowHeight="15" x14ac:dyDescent="0.25"/>
  <cols>
    <col min="1" max="1" width="8.7109375" style="46"/>
    <col min="2" max="2" width="29.28515625" style="46" customWidth="1"/>
    <col min="3" max="3" width="12.7109375" style="46" customWidth="1"/>
    <col min="4" max="4" width="2.5703125" style="46" customWidth="1"/>
    <col min="5" max="5" width="15.7109375" style="46" customWidth="1"/>
    <col min="6" max="6" width="32" style="46" customWidth="1"/>
    <col min="7" max="7" width="16" style="46" customWidth="1"/>
    <col min="8" max="16384" width="8.7109375" style="46"/>
  </cols>
  <sheetData>
    <row r="18" spans="2:7" ht="15.75" thickBot="1" x14ac:dyDescent="0.3">
      <c r="B18" s="46" t="s">
        <v>63</v>
      </c>
      <c r="C18" s="47">
        <v>325000</v>
      </c>
      <c r="E18" s="46" t="s">
        <v>83</v>
      </c>
    </row>
    <row r="19" spans="2:7" ht="15.75" thickBot="1" x14ac:dyDescent="0.3">
      <c r="B19" s="46" t="s">
        <v>64</v>
      </c>
      <c r="C19" s="44">
        <v>12</v>
      </c>
      <c r="E19" s="46" t="s">
        <v>84</v>
      </c>
      <c r="G19" s="52">
        <f>PMT(C20/12,C19*12,-C18)</f>
        <v>3104.6475913298636</v>
      </c>
    </row>
    <row r="20" spans="2:7" x14ac:dyDescent="0.25">
      <c r="B20" s="46" t="s">
        <v>16</v>
      </c>
      <c r="C20" s="55">
        <v>5.6000000000000001E-2</v>
      </c>
    </row>
    <row r="21" spans="2:7" x14ac:dyDescent="0.25">
      <c r="B21" s="46" t="s">
        <v>65</v>
      </c>
      <c r="C21" s="47">
        <v>1000</v>
      </c>
      <c r="E21" s="46" t="s">
        <v>82</v>
      </c>
    </row>
    <row r="22" spans="2:7" ht="15.75" thickBot="1" x14ac:dyDescent="0.3">
      <c r="E22" s="46" t="s">
        <v>66</v>
      </c>
    </row>
    <row r="23" spans="2:7" ht="15.75" thickBot="1" x14ac:dyDescent="0.3">
      <c r="E23" s="46" t="s">
        <v>85</v>
      </c>
      <c r="G23" s="91">
        <f>NPER(C20/12,G19+C21,-C18)</f>
        <v>99.067988699257356</v>
      </c>
    </row>
    <row r="25" spans="2:7" x14ac:dyDescent="0.25">
      <c r="E25" s="46" t="s">
        <v>67</v>
      </c>
    </row>
    <row r="26" spans="2:7" x14ac:dyDescent="0.25">
      <c r="E26" s="46" t="s">
        <v>68</v>
      </c>
    </row>
    <row r="27" spans="2:7" x14ac:dyDescent="0.25">
      <c r="E27" s="46" t="s">
        <v>69</v>
      </c>
    </row>
    <row r="28" spans="2:7" x14ac:dyDescent="0.25">
      <c r="E28" s="46" t="s">
        <v>70</v>
      </c>
    </row>
    <row r="29" spans="2:7" x14ac:dyDescent="0.25">
      <c r="E29" s="46" t="s">
        <v>71</v>
      </c>
    </row>
    <row r="30" spans="2:7" ht="15.75" thickBot="1" x14ac:dyDescent="0.3">
      <c r="E30" s="46" t="s">
        <v>72</v>
      </c>
    </row>
    <row r="31" spans="2:7" ht="15.75" thickBot="1" x14ac:dyDescent="0.3">
      <c r="E31" s="46" t="s">
        <v>73</v>
      </c>
      <c r="G31" s="5">
        <f>(G19*C19*12)-(G23*(G19+C21))</f>
        <v>40430.0719591995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0"/>
  <sheetViews>
    <sheetView zoomScale="160" zoomScaleNormal="160" workbookViewId="0"/>
  </sheetViews>
  <sheetFormatPr defaultRowHeight="15" x14ac:dyDescent="0.25"/>
  <cols>
    <col min="1" max="1" width="4.28515625" style="113" customWidth="1"/>
    <col min="2" max="5" width="9.140625" style="113"/>
    <col min="6" max="6" width="13.28515625" style="113" bestFit="1" customWidth="1"/>
    <col min="7" max="7" width="12" style="113" customWidth="1"/>
    <col min="8" max="8" width="12.140625" style="113" customWidth="1"/>
    <col min="9" max="9" width="14.140625" style="113" customWidth="1"/>
    <col min="10" max="16384" width="9.140625" style="113"/>
  </cols>
  <sheetData>
    <row r="2" spans="2:11" x14ac:dyDescent="0.25">
      <c r="B2" s="103" t="s">
        <v>161</v>
      </c>
    </row>
    <row r="4" spans="2:11" x14ac:dyDescent="0.25">
      <c r="B4" s="103" t="s">
        <v>62</v>
      </c>
    </row>
    <row r="5" spans="2:11" s="103" customFormat="1" x14ac:dyDescent="0.25">
      <c r="B5" s="7" t="s">
        <v>8</v>
      </c>
      <c r="F5" s="115">
        <v>250000</v>
      </c>
    </row>
    <row r="6" spans="2:11" s="103" customFormat="1" x14ac:dyDescent="0.25">
      <c r="B6" s="7" t="s">
        <v>162</v>
      </c>
      <c r="F6" s="116">
        <v>4</v>
      </c>
    </row>
    <row r="7" spans="2:11" s="103" customFormat="1" x14ac:dyDescent="0.25">
      <c r="B7" s="7" t="s">
        <v>9</v>
      </c>
      <c r="F7" s="117">
        <v>8.5000000000000006E-2</v>
      </c>
    </row>
    <row r="8" spans="2:11" s="103" customFormat="1" x14ac:dyDescent="0.25">
      <c r="B8" s="7"/>
      <c r="F8" s="118"/>
    </row>
    <row r="9" spans="2:11" s="103" customFormat="1" x14ac:dyDescent="0.25">
      <c r="B9" s="7" t="s">
        <v>146</v>
      </c>
      <c r="F9" s="121">
        <v>14</v>
      </c>
    </row>
    <row r="10" spans="2:11" s="103" customFormat="1" x14ac:dyDescent="0.25">
      <c r="B10" s="7"/>
    </row>
    <row r="11" spans="2:11" x14ac:dyDescent="0.25">
      <c r="B11" s="119" t="s">
        <v>147</v>
      </c>
    </row>
    <row r="12" spans="2:11" x14ac:dyDescent="0.25">
      <c r="B12" s="119" t="s">
        <v>148</v>
      </c>
    </row>
    <row r="13" spans="2:11" x14ac:dyDescent="0.25">
      <c r="B13" s="119" t="s">
        <v>149</v>
      </c>
    </row>
    <row r="14" spans="2:11" x14ac:dyDescent="0.25">
      <c r="B14" s="119" t="s">
        <v>150</v>
      </c>
    </row>
    <row r="15" spans="2:11" ht="15.75" thickBot="1" x14ac:dyDescent="0.3"/>
    <row r="16" spans="2:11" ht="15.75" thickBot="1" x14ac:dyDescent="0.3">
      <c r="B16" s="134" t="s">
        <v>151</v>
      </c>
      <c r="C16" s="134"/>
      <c r="D16" s="134"/>
      <c r="E16" s="134"/>
      <c r="F16" s="134"/>
      <c r="G16" s="134"/>
      <c r="H16" s="134"/>
      <c r="I16" s="134"/>
      <c r="J16" s="134"/>
      <c r="K16" s="134"/>
    </row>
    <row r="18" spans="2:11" x14ac:dyDescent="0.25">
      <c r="B18" s="120" t="s">
        <v>152</v>
      </c>
    </row>
    <row r="19" spans="2:11" ht="15.75" thickBot="1" x14ac:dyDescent="0.3"/>
    <row r="20" spans="2:11" ht="15.75" thickBot="1" x14ac:dyDescent="0.3">
      <c r="C20" s="103" t="s">
        <v>153</v>
      </c>
      <c r="I20" s="52">
        <f>PMT(F7/12,F6*12,-F5)</f>
        <v>6162.0758397089276</v>
      </c>
    </row>
    <row r="21" spans="2:11" ht="15.75" thickBot="1" x14ac:dyDescent="0.3">
      <c r="C21" s="103" t="s">
        <v>154</v>
      </c>
      <c r="I21" s="52">
        <f>I28</f>
        <v>1348.8334289665343</v>
      </c>
    </row>
    <row r="22" spans="2:11" ht="15.75" thickBot="1" x14ac:dyDescent="0.3">
      <c r="C22" s="103" t="s">
        <v>155</v>
      </c>
      <c r="I22" s="52">
        <f t="shared" ref="I22:I23" si="0">I29</f>
        <v>4813.2424107423931</v>
      </c>
    </row>
    <row r="23" spans="2:11" ht="15.75" thickBot="1" x14ac:dyDescent="0.3">
      <c r="C23" s="103" t="s">
        <v>156</v>
      </c>
      <c r="I23" s="52">
        <f t="shared" si="0"/>
        <v>185610.30050218009</v>
      </c>
    </row>
    <row r="24" spans="2:11" ht="15.75" thickBot="1" x14ac:dyDescent="0.3"/>
    <row r="25" spans="2:11" ht="15.75" thickBot="1" x14ac:dyDescent="0.3">
      <c r="B25" s="134" t="s">
        <v>106</v>
      </c>
      <c r="C25" s="134"/>
      <c r="D25" s="134"/>
      <c r="E25" s="134"/>
      <c r="F25" s="134"/>
      <c r="G25" s="134"/>
      <c r="H25" s="134"/>
      <c r="I25" s="134"/>
      <c r="J25" s="134"/>
      <c r="K25" s="134"/>
    </row>
    <row r="27" spans="2:11" x14ac:dyDescent="0.25">
      <c r="C27" s="113" t="s">
        <v>157</v>
      </c>
      <c r="I27" s="98">
        <f>PV(F7/12,F6*12-F9+1,-I20)</f>
        <v>190423.54291292248</v>
      </c>
    </row>
    <row r="28" spans="2:11" x14ac:dyDescent="0.25">
      <c r="C28" s="113" t="s">
        <v>158</v>
      </c>
      <c r="I28" s="98">
        <f>I27*F7/12</f>
        <v>1348.8334289665343</v>
      </c>
    </row>
    <row r="29" spans="2:11" x14ac:dyDescent="0.25">
      <c r="C29" s="113" t="s">
        <v>159</v>
      </c>
      <c r="I29" s="98">
        <f>I20-I28</f>
        <v>4813.2424107423931</v>
      </c>
    </row>
    <row r="30" spans="2:11" x14ac:dyDescent="0.25">
      <c r="C30" s="113" t="s">
        <v>160</v>
      </c>
      <c r="I30" s="98">
        <f>I27-I29</f>
        <v>185610.30050218009</v>
      </c>
    </row>
  </sheetData>
  <mergeCells count="2">
    <mergeCell ref="B16:K16"/>
    <mergeCell ref="B25:K2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7"/>
  <sheetViews>
    <sheetView topLeftCell="A86" zoomScale="190" zoomScaleNormal="190" workbookViewId="0">
      <selection activeCell="E88" sqref="E88"/>
    </sheetView>
  </sheetViews>
  <sheetFormatPr defaultRowHeight="15" x14ac:dyDescent="0.25"/>
  <cols>
    <col min="1" max="1" width="3.5703125" customWidth="1"/>
    <col min="2" max="2" width="5" customWidth="1"/>
    <col min="3" max="3" width="12.5703125" customWidth="1"/>
    <col min="4" max="4" width="16" customWidth="1"/>
    <col min="5" max="5" width="13.7109375" customWidth="1"/>
    <col min="6" max="6" width="10.28515625" customWidth="1"/>
    <col min="8" max="8" width="12.28515625" bestFit="1" customWidth="1"/>
    <col min="10" max="14" width="12.7109375" customWidth="1"/>
  </cols>
  <sheetData>
    <row r="2" spans="2:8" ht="23.25" x14ac:dyDescent="0.35">
      <c r="B2" s="1" t="s">
        <v>100</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ht="14.65" customHeight="1" x14ac:dyDescent="0.25">
      <c r="B11" s="43" t="s">
        <v>0</v>
      </c>
      <c r="C11" s="109" t="s">
        <v>2</v>
      </c>
    </row>
    <row r="12" spans="2:8" ht="14.65" customHeight="1" x14ac:dyDescent="0.25">
      <c r="C12" s="109" t="s">
        <v>92</v>
      </c>
    </row>
    <row r="13" spans="2:8" ht="14.65" customHeight="1" x14ac:dyDescent="0.25">
      <c r="C13" s="109" t="s">
        <v>164</v>
      </c>
    </row>
    <row r="14" spans="2:8" ht="14.65" customHeight="1" x14ac:dyDescent="0.25">
      <c r="C14" s="109" t="s">
        <v>101</v>
      </c>
    </row>
    <row r="15" spans="2:8" ht="15.75" thickBot="1" x14ac:dyDescent="0.3"/>
    <row r="16" spans="2:8" ht="15.75" thickBot="1" x14ac:dyDescent="0.3">
      <c r="D16" s="62" t="s">
        <v>91</v>
      </c>
      <c r="E16" s="63" t="s">
        <v>4</v>
      </c>
      <c r="F16" s="60"/>
    </row>
    <row r="17" spans="3:10" x14ac:dyDescent="0.25">
      <c r="D17" s="64">
        <v>1</v>
      </c>
      <c r="E17" s="67">
        <v>0</v>
      </c>
      <c r="F17" s="60"/>
    </row>
    <row r="18" spans="3:10" x14ac:dyDescent="0.25">
      <c r="D18" s="66">
        <v>2</v>
      </c>
      <c r="E18" s="67">
        <v>0</v>
      </c>
      <c r="F18" s="60"/>
    </row>
    <row r="19" spans="3:10" x14ac:dyDescent="0.25">
      <c r="D19" s="66">
        <v>3</v>
      </c>
      <c r="E19" s="95">
        <v>0</v>
      </c>
    </row>
    <row r="20" spans="3:10" ht="15.75" thickBot="1" x14ac:dyDescent="0.3">
      <c r="D20" s="66">
        <v>4</v>
      </c>
      <c r="E20" s="95">
        <v>0</v>
      </c>
    </row>
    <row r="21" spans="3:10" ht="15.75" thickBot="1" x14ac:dyDescent="0.3">
      <c r="D21" s="66">
        <v>5</v>
      </c>
      <c r="E21" s="94">
        <v>3500</v>
      </c>
      <c r="F21" s="60" t="s">
        <v>5</v>
      </c>
    </row>
    <row r="22" spans="3:10" x14ac:dyDescent="0.25">
      <c r="D22" s="66">
        <v>6</v>
      </c>
      <c r="E22" s="95">
        <f t="shared" ref="E22:E24" si="0">E21</f>
        <v>3500</v>
      </c>
      <c r="F22" s="60"/>
    </row>
    <row r="23" spans="3:10" x14ac:dyDescent="0.25">
      <c r="D23" s="66">
        <v>7</v>
      </c>
      <c r="E23" s="95">
        <f t="shared" si="0"/>
        <v>3500</v>
      </c>
      <c r="F23" s="60"/>
    </row>
    <row r="24" spans="3:10" x14ac:dyDescent="0.25">
      <c r="D24" s="66">
        <v>8</v>
      </c>
      <c r="E24" s="95">
        <f t="shared" si="0"/>
        <v>3500</v>
      </c>
      <c r="F24" s="60"/>
      <c r="J24" s="48"/>
    </row>
    <row r="25" spans="3:10" ht="15.75" thickBot="1" x14ac:dyDescent="0.3">
      <c r="D25" s="68">
        <v>9</v>
      </c>
      <c r="E25" s="67">
        <f t="shared" ref="E25" si="1">E24</f>
        <v>3500</v>
      </c>
      <c r="F25" s="60"/>
    </row>
    <row r="26" spans="3:10" s="59" customFormat="1" ht="15.75" thickBot="1" x14ac:dyDescent="0.3">
      <c r="D26" s="61">
        <v>10</v>
      </c>
      <c r="E26" s="65">
        <v>1000</v>
      </c>
      <c r="F26" s="60" t="s">
        <v>5</v>
      </c>
    </row>
    <row r="28" spans="3:10" x14ac:dyDescent="0.25">
      <c r="C28" t="s">
        <v>93</v>
      </c>
      <c r="E28" s="3">
        <v>7.0000000000000007E-2</v>
      </c>
      <c r="I28" s="4"/>
    </row>
    <row r="30" spans="3:10" x14ac:dyDescent="0.25">
      <c r="C30" t="s">
        <v>94</v>
      </c>
    </row>
    <row r="31" spans="3:10" x14ac:dyDescent="0.25">
      <c r="C31" t="s">
        <v>95</v>
      </c>
    </row>
    <row r="32" spans="3:10" x14ac:dyDescent="0.25">
      <c r="C32" s="69" t="s">
        <v>163</v>
      </c>
    </row>
    <row r="33" spans="2:8" ht="15.75" thickBot="1" x14ac:dyDescent="0.3"/>
    <row r="34" spans="2:8" ht="15.75" thickBot="1" x14ac:dyDescent="0.3">
      <c r="C34" t="s">
        <v>96</v>
      </c>
      <c r="D34" s="135">
        <f>PV(E28,4,0,PV(E28,6,E21,E26-E19))</f>
        <v>13235.645287775085</v>
      </c>
      <c r="E34" s="136"/>
    </row>
    <row r="36" spans="2:8" x14ac:dyDescent="0.25">
      <c r="B36" s="73" t="s">
        <v>1</v>
      </c>
      <c r="C36" s="70" t="s">
        <v>107</v>
      </c>
      <c r="D36" s="70"/>
      <c r="E36" s="70"/>
      <c r="F36" s="70"/>
      <c r="G36" s="70"/>
      <c r="H36" s="70"/>
    </row>
    <row r="37" spans="2:8" s="69" customFormat="1" x14ac:dyDescent="0.25">
      <c r="B37" s="70"/>
      <c r="C37" s="75" t="s">
        <v>108</v>
      </c>
      <c r="D37" s="70"/>
      <c r="E37" s="70"/>
      <c r="F37" s="70"/>
      <c r="G37" s="70"/>
      <c r="H37" s="70"/>
    </row>
    <row r="38" spans="2:8" s="69" customFormat="1" x14ac:dyDescent="0.25">
      <c r="B38" s="70"/>
      <c r="C38" s="75" t="s">
        <v>165</v>
      </c>
      <c r="D38" s="70"/>
      <c r="E38" s="70"/>
      <c r="F38" s="70"/>
      <c r="G38" s="70"/>
      <c r="H38" s="70"/>
    </row>
    <row r="39" spans="2:8" s="69" customFormat="1" ht="15.75" thickBot="1" x14ac:dyDescent="0.3">
      <c r="B39" s="70"/>
      <c r="C39" s="70"/>
      <c r="D39" s="70"/>
      <c r="E39" s="70"/>
      <c r="F39" s="70"/>
      <c r="G39" s="70"/>
      <c r="H39" s="70"/>
    </row>
    <row r="40" spans="2:8" s="69" customFormat="1" ht="15.75" thickBot="1" x14ac:dyDescent="0.3">
      <c r="B40" s="70"/>
      <c r="C40" s="76" t="s">
        <v>109</v>
      </c>
      <c r="D40" s="70"/>
      <c r="E40" s="70"/>
      <c r="F40" s="77">
        <v>0.125</v>
      </c>
      <c r="G40" s="70"/>
      <c r="H40" s="70"/>
    </row>
    <row r="41" spans="2:8" s="69" customFormat="1" ht="15.75" thickBot="1" x14ac:dyDescent="0.3">
      <c r="B41" s="70"/>
      <c r="C41" s="70"/>
      <c r="D41" s="70"/>
      <c r="E41" s="71"/>
      <c r="F41" s="71"/>
      <c r="G41" s="70"/>
      <c r="H41" s="70"/>
    </row>
    <row r="42" spans="2:8" s="69" customFormat="1" ht="45.75" thickBot="1" x14ac:dyDescent="0.3">
      <c r="B42" s="70"/>
      <c r="C42" s="70"/>
      <c r="D42" s="70"/>
      <c r="E42" s="79" t="s">
        <v>110</v>
      </c>
      <c r="F42" s="79" t="s">
        <v>111</v>
      </c>
      <c r="G42" s="70"/>
      <c r="H42" s="70"/>
    </row>
    <row r="43" spans="2:8" s="69" customFormat="1" x14ac:dyDescent="0.25">
      <c r="B43" s="70"/>
      <c r="C43" s="70"/>
      <c r="D43" s="70"/>
      <c r="E43" s="72" t="s">
        <v>79</v>
      </c>
      <c r="F43" s="78">
        <f>FV(F40/4,4,0,-1)-1</f>
        <v>0.13098239898681641</v>
      </c>
      <c r="G43" s="70"/>
      <c r="H43" s="70"/>
    </row>
    <row r="44" spans="2:8" s="69" customFormat="1" x14ac:dyDescent="0.25">
      <c r="B44" s="70"/>
      <c r="C44" s="70"/>
      <c r="D44" s="70"/>
      <c r="E44" s="72" t="s">
        <v>80</v>
      </c>
      <c r="F44" s="78">
        <f>FV(F40/12,12,0,-1)-1</f>
        <v>0.13241604641527593</v>
      </c>
      <c r="G44" s="70"/>
      <c r="H44" s="70"/>
    </row>
    <row r="45" spans="2:8" s="69" customFormat="1" ht="15.75" thickBot="1" x14ac:dyDescent="0.3">
      <c r="B45" s="70"/>
      <c r="C45" s="70"/>
      <c r="D45" s="70"/>
      <c r="E45" s="72" t="s">
        <v>112</v>
      </c>
      <c r="F45" s="78">
        <f>FV(F40/365,365,0,-1)-1</f>
        <v>0.13312420482862297</v>
      </c>
      <c r="G45" s="70"/>
      <c r="H45" s="70"/>
    </row>
    <row r="46" spans="2:8" s="69" customFormat="1" ht="15.75" thickBot="1" x14ac:dyDescent="0.3">
      <c r="B46" s="70"/>
      <c r="C46" s="70"/>
      <c r="D46" s="70"/>
      <c r="E46" s="80" t="s">
        <v>113</v>
      </c>
      <c r="F46" s="74">
        <f>EXP(F40)-1</f>
        <v>0.13314845306682632</v>
      </c>
      <c r="G46" s="70"/>
      <c r="H46" s="70"/>
    </row>
    <row r="47" spans="2:8" s="69" customFormat="1" x14ac:dyDescent="0.25"/>
    <row r="48" spans="2:8" s="69" customFormat="1" x14ac:dyDescent="0.25"/>
    <row r="49" spans="2:12" x14ac:dyDescent="0.25">
      <c r="B49" s="57" t="s">
        <v>6</v>
      </c>
      <c r="C49" t="s">
        <v>76</v>
      </c>
    </row>
    <row r="50" spans="2:12" s="92" customFormat="1" x14ac:dyDescent="0.25">
      <c r="B50" s="93"/>
    </row>
    <row r="51" spans="2:12" s="92" customFormat="1" x14ac:dyDescent="0.25">
      <c r="B51" s="93"/>
    </row>
    <row r="52" spans="2:12" s="92" customFormat="1" ht="46.9" customHeight="1" x14ac:dyDescent="0.25">
      <c r="B52" s="93"/>
      <c r="D52" s="109"/>
    </row>
    <row r="53" spans="2:12" s="92" customFormat="1" x14ac:dyDescent="0.25">
      <c r="B53" s="93"/>
    </row>
    <row r="54" spans="2:12" x14ac:dyDescent="0.25">
      <c r="C54" s="113" t="s">
        <v>169</v>
      </c>
    </row>
    <row r="55" spans="2:12" ht="14.65" customHeight="1" x14ac:dyDescent="0.25">
      <c r="C55" s="113" t="s">
        <v>166</v>
      </c>
    </row>
    <row r="56" spans="2:12" x14ac:dyDescent="0.25">
      <c r="C56" s="113" t="s">
        <v>77</v>
      </c>
      <c r="L56" s="4"/>
    </row>
    <row r="57" spans="2:12" x14ac:dyDescent="0.25">
      <c r="C57" s="96" t="s">
        <v>86</v>
      </c>
      <c r="J57" s="82"/>
    </row>
    <row r="58" spans="2:12" x14ac:dyDescent="0.25">
      <c r="C58" s="96" t="s">
        <v>171</v>
      </c>
      <c r="J58" s="82"/>
    </row>
    <row r="59" spans="2:12" s="82" customFormat="1" ht="8.25" customHeight="1" x14ac:dyDescent="0.25">
      <c r="C59" s="84"/>
      <c r="J59" s="96"/>
      <c r="K59" s="98"/>
    </row>
    <row r="60" spans="2:12" s="82" customFormat="1" ht="8.25" customHeight="1" x14ac:dyDescent="0.25">
      <c r="C60" s="83"/>
      <c r="J60" s="96"/>
    </row>
    <row r="61" spans="2:12" x14ac:dyDescent="0.25">
      <c r="C61" s="96" t="s">
        <v>167</v>
      </c>
      <c r="D61" s="96"/>
      <c r="E61" s="97">
        <f>-PV(0.1,3,500)/1.1</f>
        <v>1130.3872686291929</v>
      </c>
      <c r="J61" s="96"/>
      <c r="K61" s="96"/>
      <c r="L61" s="97"/>
    </row>
    <row r="62" spans="2:12" x14ac:dyDescent="0.25">
      <c r="C62" s="96" t="s">
        <v>168</v>
      </c>
      <c r="D62" s="96"/>
      <c r="E62" s="97">
        <f>PV(0.1,7,0,PV(0.1,3,500,250))</f>
        <v>734.4599663632581</v>
      </c>
      <c r="J62" s="113"/>
      <c r="K62" s="96"/>
      <c r="L62" s="97"/>
    </row>
    <row r="63" spans="2:12" x14ac:dyDescent="0.25">
      <c r="C63" s="96" t="s">
        <v>97</v>
      </c>
      <c r="D63" s="96"/>
      <c r="E63" s="97">
        <f>SUM(E61:E62)</f>
        <v>1864.8472349924509</v>
      </c>
      <c r="J63" s="113"/>
      <c r="K63" s="96"/>
      <c r="L63" s="97"/>
    </row>
    <row r="64" spans="2:12" x14ac:dyDescent="0.25">
      <c r="C64" s="96" t="s">
        <v>98</v>
      </c>
      <c r="D64" s="96"/>
      <c r="E64" s="97">
        <f>1250-E63</f>
        <v>-614.84723499245092</v>
      </c>
      <c r="J64" s="96"/>
      <c r="K64" s="96"/>
      <c r="L64" s="97"/>
    </row>
    <row r="65" spans="2:14" x14ac:dyDescent="0.25">
      <c r="C65" s="96" t="s">
        <v>170</v>
      </c>
      <c r="D65" s="96"/>
      <c r="E65" s="97">
        <f>FV(0.1,4,0,-E64)</f>
        <v>-900.19783675244764</v>
      </c>
      <c r="K65" s="96"/>
      <c r="L65" s="97"/>
    </row>
    <row r="66" spans="2:14" x14ac:dyDescent="0.25">
      <c r="C66" s="96" t="s">
        <v>99</v>
      </c>
      <c r="D66" s="96"/>
      <c r="E66" s="97">
        <f>PMT(0.1,3,-E65)</f>
        <v>-361.98287634970035</v>
      </c>
      <c r="H66" s="96"/>
      <c r="K66" s="96"/>
      <c r="L66" s="97"/>
    </row>
    <row r="67" spans="2:14" x14ac:dyDescent="0.25">
      <c r="F67" s="43"/>
      <c r="J67" s="98"/>
    </row>
    <row r="68" spans="2:14" x14ac:dyDescent="0.25">
      <c r="B68" s="57" t="s">
        <v>7</v>
      </c>
      <c r="C68" t="s">
        <v>20</v>
      </c>
    </row>
    <row r="69" spans="2:14" ht="17.25" x14ac:dyDescent="0.4">
      <c r="C69" t="s">
        <v>173</v>
      </c>
      <c r="I69" s="18" t="s">
        <v>3</v>
      </c>
      <c r="J69" s="18" t="s">
        <v>17</v>
      </c>
      <c r="K69" s="18" t="s">
        <v>18</v>
      </c>
      <c r="L69" s="18" t="s">
        <v>28</v>
      </c>
      <c r="M69" s="18" t="s">
        <v>19</v>
      </c>
      <c r="N69" s="18"/>
    </row>
    <row r="70" spans="2:14" x14ac:dyDescent="0.25">
      <c r="C70" t="s">
        <v>172</v>
      </c>
      <c r="I70" s="17">
        <v>1</v>
      </c>
      <c r="J70">
        <v>2500</v>
      </c>
      <c r="K70">
        <v>1800</v>
      </c>
      <c r="L70">
        <v>300</v>
      </c>
      <c r="M70">
        <v>125</v>
      </c>
    </row>
    <row r="71" spans="2:14" ht="15.75" thickBot="1" x14ac:dyDescent="0.3">
      <c r="I71" s="17">
        <v>2</v>
      </c>
      <c r="J71">
        <v>3000</v>
      </c>
      <c r="K71">
        <v>2200</v>
      </c>
      <c r="L71">
        <v>315</v>
      </c>
      <c r="M71">
        <v>150</v>
      </c>
    </row>
    <row r="72" spans="2:14" ht="15.75" thickBot="1" x14ac:dyDescent="0.3">
      <c r="C72" s="7" t="s">
        <v>21</v>
      </c>
      <c r="E72" s="19">
        <v>7</v>
      </c>
      <c r="I72" s="17">
        <v>3</v>
      </c>
      <c r="J72">
        <v>3250</v>
      </c>
      <c r="K72">
        <v>2400</v>
      </c>
      <c r="L72">
        <v>325</v>
      </c>
      <c r="M72">
        <v>162</v>
      </c>
    </row>
    <row r="73" spans="2:14" ht="15.75" thickBot="1" x14ac:dyDescent="0.3">
      <c r="C73" s="16"/>
      <c r="I73" s="17">
        <v>4</v>
      </c>
      <c r="J73">
        <v>4000</v>
      </c>
      <c r="K73">
        <v>3100</v>
      </c>
      <c r="L73">
        <v>400</v>
      </c>
      <c r="M73">
        <v>200</v>
      </c>
    </row>
    <row r="74" spans="2:14" ht="15.75" thickBot="1" x14ac:dyDescent="0.3">
      <c r="C74" s="7" t="s">
        <v>28</v>
      </c>
      <c r="E74" s="20">
        <f>VLOOKUP(E72,I70:M79,4)</f>
        <v>500</v>
      </c>
      <c r="I74" s="17">
        <v>5</v>
      </c>
      <c r="J74">
        <v>4500</v>
      </c>
      <c r="K74">
        <v>3300</v>
      </c>
      <c r="L74">
        <v>430</v>
      </c>
      <c r="M74">
        <v>225</v>
      </c>
    </row>
    <row r="75" spans="2:14" x14ac:dyDescent="0.25">
      <c r="I75" s="17">
        <v>6</v>
      </c>
      <c r="J75">
        <v>5200</v>
      </c>
      <c r="K75">
        <v>3900</v>
      </c>
      <c r="L75">
        <v>450</v>
      </c>
      <c r="M75">
        <v>260</v>
      </c>
    </row>
    <row r="76" spans="2:14" x14ac:dyDescent="0.25">
      <c r="I76" s="17">
        <v>7</v>
      </c>
      <c r="J76">
        <v>5900</v>
      </c>
      <c r="K76">
        <v>4400</v>
      </c>
      <c r="L76">
        <v>500</v>
      </c>
      <c r="M76">
        <v>295</v>
      </c>
    </row>
    <row r="77" spans="2:14" x14ac:dyDescent="0.25">
      <c r="I77" s="17">
        <v>8</v>
      </c>
      <c r="J77">
        <v>6500</v>
      </c>
      <c r="K77">
        <v>4800</v>
      </c>
      <c r="L77">
        <v>550</v>
      </c>
      <c r="M77">
        <v>325</v>
      </c>
    </row>
    <row r="78" spans="2:14" x14ac:dyDescent="0.25">
      <c r="I78" s="17">
        <v>9</v>
      </c>
      <c r="J78">
        <v>8000</v>
      </c>
      <c r="K78">
        <v>6000</v>
      </c>
      <c r="L78">
        <v>590</v>
      </c>
      <c r="M78">
        <v>400</v>
      </c>
    </row>
    <row r="79" spans="2:14" x14ac:dyDescent="0.25">
      <c r="I79" s="17">
        <v>10</v>
      </c>
      <c r="J79">
        <v>9250</v>
      </c>
      <c r="K79">
        <v>6900</v>
      </c>
      <c r="L79">
        <v>700</v>
      </c>
      <c r="M79">
        <v>475</v>
      </c>
    </row>
    <row r="81" spans="2:4" x14ac:dyDescent="0.25">
      <c r="B81" s="81" t="s">
        <v>120</v>
      </c>
      <c r="C81" t="s">
        <v>174</v>
      </c>
    </row>
    <row r="82" spans="2:4" s="113" customFormat="1" x14ac:dyDescent="0.25">
      <c r="B82" s="93"/>
      <c r="C82" s="113" t="s">
        <v>178</v>
      </c>
    </row>
    <row r="83" spans="2:4" s="113" customFormat="1" x14ac:dyDescent="0.25">
      <c r="B83" s="93"/>
      <c r="C83" s="113" t="s">
        <v>175</v>
      </c>
    </row>
    <row r="84" spans="2:4" s="113" customFormat="1" x14ac:dyDescent="0.25">
      <c r="B84" s="93"/>
      <c r="C84" s="113" t="s">
        <v>176</v>
      </c>
    </row>
    <row r="85" spans="2:4" s="113" customFormat="1" x14ac:dyDescent="0.25">
      <c r="B85" s="93"/>
      <c r="C85" s="113" t="s">
        <v>177</v>
      </c>
    </row>
    <row r="86" spans="2:4" x14ac:dyDescent="0.25">
      <c r="C86" t="s">
        <v>179</v>
      </c>
    </row>
    <row r="87" spans="2:4" s="113" customFormat="1" x14ac:dyDescent="0.25">
      <c r="C87" s="113" t="s">
        <v>180</v>
      </c>
    </row>
    <row r="88" spans="2:4" ht="15.75" thickBot="1" x14ac:dyDescent="0.3"/>
    <row r="89" spans="2:4" ht="15.75" thickBot="1" x14ac:dyDescent="0.3">
      <c r="C89" s="125" t="s">
        <v>3</v>
      </c>
      <c r="D89" s="126" t="s">
        <v>17</v>
      </c>
    </row>
    <row r="90" spans="2:4" x14ac:dyDescent="0.25">
      <c r="C90" s="122">
        <v>2005</v>
      </c>
      <c r="D90" s="123">
        <v>1345000</v>
      </c>
    </row>
    <row r="91" spans="2:4" x14ac:dyDescent="0.25">
      <c r="C91" s="85">
        <v>2006</v>
      </c>
      <c r="D91" s="88">
        <v>1472000</v>
      </c>
    </row>
    <row r="92" spans="2:4" x14ac:dyDescent="0.25">
      <c r="C92" s="85">
        <v>2007</v>
      </c>
      <c r="D92" s="88">
        <v>1725000</v>
      </c>
    </row>
    <row r="93" spans="2:4" x14ac:dyDescent="0.25">
      <c r="C93" s="85">
        <v>2008</v>
      </c>
      <c r="D93" s="88">
        <v>1654000</v>
      </c>
    </row>
    <row r="94" spans="2:4" x14ac:dyDescent="0.25">
      <c r="C94" s="85">
        <v>2009</v>
      </c>
      <c r="D94" s="88">
        <v>1925000</v>
      </c>
    </row>
    <row r="95" spans="2:4" x14ac:dyDescent="0.25">
      <c r="C95" s="85">
        <v>2010</v>
      </c>
      <c r="D95" s="88">
        <v>2164500</v>
      </c>
    </row>
    <row r="96" spans="2:4" s="109" customFormat="1" x14ac:dyDescent="0.25">
      <c r="C96" s="107">
        <v>2011</v>
      </c>
      <c r="D96" s="108">
        <v>2045000</v>
      </c>
    </row>
    <row r="97" spans="3:4" ht="15.75" thickBot="1" x14ac:dyDescent="0.3">
      <c r="C97" s="86">
        <v>2012</v>
      </c>
      <c r="D97" s="124">
        <v>2450000</v>
      </c>
    </row>
  </sheetData>
  <mergeCells count="1">
    <mergeCell ref="D34:E34"/>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showGridLines="0" topLeftCell="D62" zoomScale="175" zoomScaleNormal="175" workbookViewId="0">
      <selection activeCell="K69" sqref="K69"/>
    </sheetView>
  </sheetViews>
  <sheetFormatPr defaultColWidth="8.7109375" defaultRowHeight="15" x14ac:dyDescent="0.25"/>
  <cols>
    <col min="1" max="1" width="6.28515625" style="22" customWidth="1"/>
    <col min="2" max="2" width="4" style="21" customWidth="1"/>
    <col min="3" max="3" width="30.7109375" style="21" customWidth="1"/>
    <col min="4" max="4" width="17" style="22" customWidth="1"/>
    <col min="5" max="6" width="14.5703125" style="22" customWidth="1"/>
    <col min="7" max="7" width="4.140625" style="22" customWidth="1"/>
    <col min="8" max="16384" width="8.7109375" style="22"/>
  </cols>
  <sheetData>
    <row r="24" spans="3:6" ht="15.75" thickBot="1" x14ac:dyDescent="0.3"/>
    <row r="25" spans="3:6" ht="19.5" customHeight="1" thickBot="1" x14ac:dyDescent="0.3">
      <c r="C25" s="138" t="s">
        <v>60</v>
      </c>
      <c r="D25" s="139"/>
      <c r="E25" s="139"/>
      <c r="F25" s="139"/>
    </row>
    <row r="26" spans="3:6" ht="16.149999999999999" customHeight="1" x14ac:dyDescent="0.25">
      <c r="C26" s="38" t="s">
        <v>136</v>
      </c>
      <c r="F26" s="101">
        <v>-0.04</v>
      </c>
    </row>
    <row r="27" spans="3:6" x14ac:dyDescent="0.25">
      <c r="C27" s="38" t="s">
        <v>59</v>
      </c>
      <c r="F27" s="101">
        <v>5.3999999999999999E-2</v>
      </c>
    </row>
    <row r="28" spans="3:6" x14ac:dyDescent="0.25">
      <c r="C28" s="38" t="s">
        <v>58</v>
      </c>
      <c r="F28" s="101">
        <v>6.5000000000000002E-2</v>
      </c>
    </row>
    <row r="29" spans="3:6" x14ac:dyDescent="0.25">
      <c r="C29" s="38" t="s">
        <v>137</v>
      </c>
      <c r="F29" s="100">
        <v>0.34</v>
      </c>
    </row>
    <row r="30" spans="3:6" x14ac:dyDescent="0.25">
      <c r="C30" s="38" t="s">
        <v>138</v>
      </c>
      <c r="F30" s="99">
        <v>750000</v>
      </c>
    </row>
    <row r="31" spans="3:6" x14ac:dyDescent="0.25">
      <c r="C31" s="38" t="s">
        <v>139</v>
      </c>
      <c r="F31" s="99">
        <v>180000</v>
      </c>
    </row>
    <row r="32" spans="3:6" x14ac:dyDescent="0.25">
      <c r="C32" s="38" t="s">
        <v>140</v>
      </c>
      <c r="F32" s="99">
        <v>36000</v>
      </c>
    </row>
    <row r="33" spans="3:12" ht="7.5" customHeight="1" thickBot="1" x14ac:dyDescent="0.3">
      <c r="C33" s="39"/>
      <c r="D33" s="26"/>
      <c r="E33" s="26"/>
      <c r="F33" s="40"/>
    </row>
    <row r="34" spans="3:12" x14ac:dyDescent="0.25">
      <c r="C34" s="38"/>
      <c r="F34" s="37"/>
    </row>
    <row r="35" spans="3:12" ht="21.75" thickBot="1" x14ac:dyDescent="0.4">
      <c r="C35" s="137" t="s">
        <v>22</v>
      </c>
      <c r="D35" s="137"/>
      <c r="E35" s="137"/>
      <c r="F35" s="137"/>
    </row>
    <row r="36" spans="3:12" ht="19.5" customHeight="1" thickBot="1" x14ac:dyDescent="0.3">
      <c r="C36" s="32"/>
      <c r="D36" s="110">
        <v>2011</v>
      </c>
      <c r="E36" s="110">
        <v>2012</v>
      </c>
      <c r="F36" s="110">
        <v>2013</v>
      </c>
    </row>
    <row r="37" spans="3:12" ht="17.25" customHeight="1" x14ac:dyDescent="0.25">
      <c r="C37" s="33" t="s">
        <v>17</v>
      </c>
      <c r="D37" s="22">
        <v>3514000</v>
      </c>
      <c r="E37" s="22">
        <v>3795120.0000000005</v>
      </c>
      <c r="F37" s="45">
        <f>E37*(1+F26)</f>
        <v>3643315.2</v>
      </c>
    </row>
    <row r="38" spans="3:12" ht="17.25" x14ac:dyDescent="0.4">
      <c r="C38" s="36" t="s">
        <v>23</v>
      </c>
      <c r="D38" s="24">
        <v>2284100</v>
      </c>
      <c r="E38" s="24">
        <v>2656584</v>
      </c>
      <c r="F38" s="24">
        <f>$F$37*J38*0.9</f>
        <v>2213313.9840000002</v>
      </c>
      <c r="H38" s="51">
        <f>D38/D$37</f>
        <v>0.65</v>
      </c>
      <c r="I38" s="51">
        <f>E38/E$37</f>
        <v>0.7</v>
      </c>
      <c r="J38" s="53">
        <f>AVERAGE(H38:I38)</f>
        <v>0.67500000000000004</v>
      </c>
      <c r="L38"/>
    </row>
    <row r="39" spans="3:12" x14ac:dyDescent="0.25">
      <c r="C39" s="34" t="s">
        <v>24</v>
      </c>
      <c r="D39" s="22">
        <f>D37-D38</f>
        <v>1229900</v>
      </c>
      <c r="E39" s="22">
        <f>E37-E38</f>
        <v>1138536.0000000005</v>
      </c>
      <c r="F39" s="22">
        <f>F37-F38</f>
        <v>1430001.216</v>
      </c>
    </row>
    <row r="40" spans="3:12" x14ac:dyDescent="0.25">
      <c r="C40" s="33" t="s">
        <v>25</v>
      </c>
      <c r="D40" s="22">
        <v>350000</v>
      </c>
      <c r="E40" s="22">
        <v>375000</v>
      </c>
      <c r="F40" s="22">
        <f>$F$37*J40</f>
        <v>361440</v>
      </c>
      <c r="G40" s="25"/>
      <c r="H40" s="51">
        <f>D40/D$37</f>
        <v>9.9601593625498003E-2</v>
      </c>
      <c r="I40" s="51">
        <f>E40/E$37</f>
        <v>9.8811104787200399E-2</v>
      </c>
      <c r="J40" s="53">
        <f>AVERAGE(H40:I40)</f>
        <v>9.9206349206349201E-2</v>
      </c>
    </row>
    <row r="41" spans="3:12" x14ac:dyDescent="0.25">
      <c r="C41" s="33" t="s">
        <v>26</v>
      </c>
      <c r="D41" s="22">
        <v>120000</v>
      </c>
      <c r="E41" s="22">
        <v>125000</v>
      </c>
      <c r="F41" s="58">
        <v>130000</v>
      </c>
    </row>
    <row r="42" spans="3:12" ht="17.25" x14ac:dyDescent="0.4">
      <c r="C42" s="36" t="s">
        <v>27</v>
      </c>
      <c r="D42" s="24">
        <v>30000</v>
      </c>
      <c r="E42" s="24">
        <v>32500</v>
      </c>
      <c r="F42" s="24">
        <f>E42+F32</f>
        <v>68500</v>
      </c>
    </row>
    <row r="43" spans="3:12" x14ac:dyDescent="0.25">
      <c r="C43" s="34" t="s">
        <v>28</v>
      </c>
      <c r="D43" s="22">
        <f>D39-D40-D41-D42</f>
        <v>729900</v>
      </c>
      <c r="E43" s="22">
        <f>E39-E40-E41-E42</f>
        <v>606036.00000000047</v>
      </c>
      <c r="F43" s="22">
        <f>F39-F40-F41-F42</f>
        <v>870061.21600000001</v>
      </c>
    </row>
    <row r="44" spans="3:12" ht="17.25" x14ac:dyDescent="0.4">
      <c r="C44" s="36" t="s">
        <v>29</v>
      </c>
      <c r="D44" s="24">
        <v>56000</v>
      </c>
      <c r="E44" s="24">
        <v>62900</v>
      </c>
      <c r="F44" s="24">
        <f>F27*E61+F28*E64</f>
        <v>43840</v>
      </c>
    </row>
    <row r="45" spans="3:12" x14ac:dyDescent="0.25">
      <c r="C45" s="34" t="s">
        <v>30</v>
      </c>
      <c r="D45" s="22">
        <f>D43-D44</f>
        <v>673900</v>
      </c>
      <c r="E45" s="22">
        <f>E43-E44</f>
        <v>543136.00000000047</v>
      </c>
      <c r="F45" s="22">
        <f>F43-F44</f>
        <v>826221.21600000001</v>
      </c>
    </row>
    <row r="46" spans="3:12" ht="17.25" x14ac:dyDescent="0.4">
      <c r="C46" s="36" t="s">
        <v>31</v>
      </c>
      <c r="D46" s="24">
        <v>235800</v>
      </c>
      <c r="E46" s="24">
        <v>207600</v>
      </c>
      <c r="F46" s="24">
        <f>F45*F29</f>
        <v>280915.21344000002</v>
      </c>
    </row>
    <row r="47" spans="3:12" ht="15.75" thickBot="1" x14ac:dyDescent="0.3">
      <c r="C47" s="35" t="s">
        <v>19</v>
      </c>
      <c r="D47" s="26">
        <f>D45-D46</f>
        <v>438100</v>
      </c>
      <c r="E47" s="26">
        <f>E45-E46</f>
        <v>335536.00000000047</v>
      </c>
      <c r="F47" s="26">
        <f>F45-F46</f>
        <v>545306.00255999994</v>
      </c>
    </row>
    <row r="48" spans="3:12" ht="7.5" customHeight="1" x14ac:dyDescent="0.25">
      <c r="C48" s="16"/>
      <c r="D48"/>
      <c r="E48"/>
      <c r="F48"/>
    </row>
    <row r="49" spans="2:10" ht="21.75" thickBot="1" x14ac:dyDescent="0.4">
      <c r="B49" s="137" t="s">
        <v>32</v>
      </c>
      <c r="C49" s="137"/>
      <c r="D49" s="137"/>
      <c r="E49" s="137"/>
      <c r="F49" s="137"/>
    </row>
    <row r="50" spans="2:10" ht="15.75" thickBot="1" x14ac:dyDescent="0.3">
      <c r="B50" s="27" t="s">
        <v>33</v>
      </c>
      <c r="C50" s="27"/>
      <c r="D50" s="110">
        <v>2011</v>
      </c>
      <c r="E50" s="110">
        <v>2012</v>
      </c>
      <c r="F50" s="110">
        <v>2013</v>
      </c>
    </row>
    <row r="51" spans="2:10" x14ac:dyDescent="0.25">
      <c r="B51" s="28" t="s">
        <v>34</v>
      </c>
      <c r="D51" s="22">
        <v>52000</v>
      </c>
      <c r="E51" s="22">
        <v>118036</v>
      </c>
      <c r="F51" s="58">
        <v>118036</v>
      </c>
    </row>
    <row r="52" spans="2:10" x14ac:dyDescent="0.25">
      <c r="B52" s="28" t="s">
        <v>35</v>
      </c>
      <c r="D52" s="22">
        <v>406000</v>
      </c>
      <c r="E52" s="22">
        <v>540000</v>
      </c>
      <c r="F52" s="22">
        <f>$F$37*J52</f>
        <v>469670.39999999997</v>
      </c>
      <c r="H52" s="51">
        <f>D52/D$37</f>
        <v>0.11553784860557768</v>
      </c>
      <c r="I52" s="51">
        <f>E52/E$37</f>
        <v>0.14228799089356856</v>
      </c>
      <c r="J52" s="53">
        <f>AVERAGE(H52:I52)</f>
        <v>0.12891291974957311</v>
      </c>
    </row>
    <row r="53" spans="2:10" ht="17.25" x14ac:dyDescent="0.4">
      <c r="B53" s="28" t="s">
        <v>36</v>
      </c>
      <c r="D53" s="24">
        <v>854000</v>
      </c>
      <c r="E53" s="24">
        <v>740000</v>
      </c>
      <c r="F53" s="87">
        <f>$F$37*J53</f>
        <v>797913.59999999998</v>
      </c>
      <c r="H53" s="51">
        <f>D53/D$37</f>
        <v>0.24302788844621515</v>
      </c>
      <c r="I53" s="51">
        <f>E53/E$37</f>
        <v>0.19498724678007545</v>
      </c>
      <c r="J53" s="53">
        <f>AVERAGE(H53:I53)</f>
        <v>0.2190075676131453</v>
      </c>
    </row>
    <row r="54" spans="2:10" x14ac:dyDescent="0.25">
      <c r="B54" s="29" t="s">
        <v>37</v>
      </c>
      <c r="D54" s="22">
        <f>D51+D52+D53</f>
        <v>1312000</v>
      </c>
      <c r="E54" s="22">
        <f>E51+E52+E53</f>
        <v>1398036</v>
      </c>
      <c r="F54" s="22">
        <f>SUM(F51:F53)</f>
        <v>1385620</v>
      </c>
    </row>
    <row r="55" spans="2:10" x14ac:dyDescent="0.25">
      <c r="B55" s="28" t="s">
        <v>38</v>
      </c>
      <c r="D55" s="22">
        <v>429000</v>
      </c>
      <c r="E55" s="22">
        <v>580000</v>
      </c>
      <c r="F55" s="22">
        <f>E55+F31</f>
        <v>760000</v>
      </c>
    </row>
    <row r="56" spans="2:10" ht="17.25" x14ac:dyDescent="0.4">
      <c r="B56" s="28" t="s">
        <v>39</v>
      </c>
      <c r="D56" s="24">
        <v>126000</v>
      </c>
      <c r="E56" s="24">
        <v>158500</v>
      </c>
      <c r="F56" s="24">
        <f>E56+F42</f>
        <v>227000</v>
      </c>
    </row>
    <row r="57" spans="2:10" ht="17.25" x14ac:dyDescent="0.4">
      <c r="B57" s="29" t="s">
        <v>40</v>
      </c>
      <c r="D57" s="24">
        <f>D55-D56</f>
        <v>303000</v>
      </c>
      <c r="E57" s="24">
        <f>E55-E56</f>
        <v>421500</v>
      </c>
      <c r="F57" s="24">
        <f>F55-F56</f>
        <v>533000</v>
      </c>
    </row>
    <row r="58" spans="2:10" ht="15.75" thickBot="1" x14ac:dyDescent="0.3">
      <c r="B58" s="29" t="s">
        <v>41</v>
      </c>
      <c r="D58" s="22">
        <f>D54+D57</f>
        <v>1615000</v>
      </c>
      <c r="E58" s="22">
        <f>E54+E57</f>
        <v>1819536</v>
      </c>
      <c r="F58" s="22">
        <f>F54+F57</f>
        <v>1918620</v>
      </c>
    </row>
    <row r="59" spans="2:10" ht="16.149999999999999" customHeight="1" x14ac:dyDescent="0.25">
      <c r="B59" s="27" t="s">
        <v>42</v>
      </c>
      <c r="C59" s="27"/>
      <c r="D59" s="23"/>
      <c r="E59" s="23"/>
      <c r="F59" s="23"/>
    </row>
    <row r="60" spans="2:10" x14ac:dyDescent="0.25">
      <c r="B60" s="28" t="s">
        <v>43</v>
      </c>
      <c r="D60" s="22">
        <v>130000</v>
      </c>
      <c r="E60" s="22">
        <v>150000</v>
      </c>
      <c r="F60" s="22">
        <f>$F$37*J60</f>
        <v>139392</v>
      </c>
      <c r="H60" s="51">
        <f>D60/D$37</f>
        <v>3.6994877632327831E-2</v>
      </c>
      <c r="I60" s="51">
        <f>E60/E$37</f>
        <v>3.9524441914880158E-2</v>
      </c>
      <c r="J60" s="53">
        <f>AVERAGE(H60:I60)</f>
        <v>3.8259659773603995E-2</v>
      </c>
    </row>
    <row r="61" spans="2:10" x14ac:dyDescent="0.25">
      <c r="B61" s="28" t="s">
        <v>44</v>
      </c>
      <c r="D61" s="22">
        <v>179000</v>
      </c>
      <c r="E61" s="22">
        <v>210000</v>
      </c>
      <c r="F61" s="58">
        <v>190000</v>
      </c>
    </row>
    <row r="62" spans="2:10" ht="17.25" x14ac:dyDescent="0.4">
      <c r="B62" s="28" t="s">
        <v>45</v>
      </c>
      <c r="D62" s="24">
        <v>118000</v>
      </c>
      <c r="E62" s="24">
        <v>85000</v>
      </c>
      <c r="F62" s="56">
        <v>95000</v>
      </c>
    </row>
    <row r="63" spans="2:10" x14ac:dyDescent="0.25">
      <c r="B63" s="29" t="s">
        <v>46</v>
      </c>
      <c r="D63" s="22">
        <f>D60+D61+D62</f>
        <v>427000</v>
      </c>
      <c r="E63" s="22">
        <f>E60+E61+E62</f>
        <v>445000</v>
      </c>
      <c r="F63" s="22">
        <f>SUM(F60:F62)</f>
        <v>424392</v>
      </c>
    </row>
    <row r="64" spans="2:10" ht="17.25" x14ac:dyDescent="0.4">
      <c r="B64" s="28" t="s">
        <v>47</v>
      </c>
      <c r="D64" s="24">
        <v>614000</v>
      </c>
      <c r="E64" s="24">
        <v>500000</v>
      </c>
      <c r="F64" s="56">
        <v>525000</v>
      </c>
    </row>
    <row r="65" spans="2:6" x14ac:dyDescent="0.25">
      <c r="B65" s="29" t="s">
        <v>48</v>
      </c>
      <c r="D65" s="22">
        <f>D63+D64</f>
        <v>1041000</v>
      </c>
      <c r="E65" s="22">
        <f>E63+E64</f>
        <v>945000</v>
      </c>
      <c r="F65" s="22">
        <f>F63+F64</f>
        <v>949392</v>
      </c>
    </row>
    <row r="66" spans="2:6" x14ac:dyDescent="0.25">
      <c r="B66" s="28" t="s">
        <v>49</v>
      </c>
      <c r="D66" s="22">
        <v>395000</v>
      </c>
      <c r="E66" s="22">
        <v>395000</v>
      </c>
      <c r="F66" s="58">
        <v>395000</v>
      </c>
    </row>
    <row r="67" spans="2:6" ht="17.25" x14ac:dyDescent="0.4">
      <c r="B67" s="28" t="s">
        <v>50</v>
      </c>
      <c r="D67" s="24">
        <v>179000</v>
      </c>
      <c r="E67" s="24">
        <v>479536</v>
      </c>
      <c r="F67" s="24">
        <f>E67+F47-F30</f>
        <v>274842.00255999994</v>
      </c>
    </row>
    <row r="68" spans="2:6" ht="17.25" x14ac:dyDescent="0.4">
      <c r="B68" s="29" t="s">
        <v>51</v>
      </c>
      <c r="D68" s="24">
        <f>D66+D67</f>
        <v>574000</v>
      </c>
      <c r="E68" s="24">
        <f>E66+E67</f>
        <v>874536</v>
      </c>
      <c r="F68" s="24">
        <f>F66+F67</f>
        <v>669842.00255999994</v>
      </c>
    </row>
    <row r="69" spans="2:6" ht="15.75" thickBot="1" x14ac:dyDescent="0.3">
      <c r="B69" s="30" t="s">
        <v>52</v>
      </c>
      <c r="C69" s="31"/>
      <c r="D69" s="26">
        <f>D65+D68</f>
        <v>1615000</v>
      </c>
      <c r="E69" s="26">
        <f>E65+E68</f>
        <v>1819536</v>
      </c>
      <c r="F69" s="26">
        <f>F65+F68</f>
        <v>1619234.0025599999</v>
      </c>
    </row>
    <row r="70" spans="2:6" ht="6" customHeight="1" x14ac:dyDescent="0.25"/>
    <row r="71" spans="2:6" ht="4.5" customHeight="1" thickBot="1" x14ac:dyDescent="0.3"/>
    <row r="72" spans="2:6" ht="15.75" thickBot="1" x14ac:dyDescent="0.3">
      <c r="C72" s="21" t="s">
        <v>141</v>
      </c>
      <c r="F72" s="20">
        <f>F69-F58</f>
        <v>-299385.99744000006</v>
      </c>
    </row>
    <row r="73" spans="2:6" ht="10.5" customHeight="1" thickBot="1" x14ac:dyDescent="0.3">
      <c r="B73" s="31"/>
      <c r="C73" s="31"/>
      <c r="D73" s="26"/>
      <c r="E73" s="26"/>
      <c r="F73" s="26"/>
    </row>
  </sheetData>
  <mergeCells count="3">
    <mergeCell ref="C35:F35"/>
    <mergeCell ref="B49:F49"/>
    <mergeCell ref="C25:F2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0"/>
  <sheetViews>
    <sheetView zoomScale="175" zoomScaleNormal="175" workbookViewId="0"/>
  </sheetViews>
  <sheetFormatPr defaultRowHeight="15" x14ac:dyDescent="0.25"/>
  <cols>
    <col min="1" max="1" width="3" customWidth="1"/>
    <col min="3" max="3" width="3.7109375" customWidth="1"/>
    <col min="4" max="4" width="3.28515625" customWidth="1"/>
    <col min="5" max="5" width="72.28515625" customWidth="1"/>
    <col min="6" max="6" width="11.42578125" bestFit="1" customWidth="1"/>
    <col min="7" max="7" width="12.140625" bestFit="1" customWidth="1"/>
    <col min="12" max="12" width="9.42578125" bestFit="1" customWidth="1"/>
    <col min="13" max="13" width="11.7109375" customWidth="1"/>
    <col min="14" max="14" width="10.7109375" customWidth="1"/>
  </cols>
  <sheetData>
    <row r="2" spans="2:7" ht="18.75" x14ac:dyDescent="0.25">
      <c r="B2" s="104"/>
      <c r="C2" s="102"/>
      <c r="D2" s="102"/>
      <c r="E2" s="105" t="s">
        <v>142</v>
      </c>
      <c r="F2" s="102"/>
      <c r="G2" s="102"/>
    </row>
    <row r="3" spans="2:7" x14ac:dyDescent="0.25">
      <c r="B3" s="104"/>
      <c r="C3" s="102"/>
      <c r="D3" s="102"/>
      <c r="E3" s="106" t="s">
        <v>117</v>
      </c>
      <c r="F3" s="102"/>
      <c r="G3" s="102"/>
    </row>
    <row r="4" spans="2:7" x14ac:dyDescent="0.25">
      <c r="B4" s="104"/>
      <c r="C4" s="102"/>
      <c r="D4" s="102"/>
      <c r="E4" s="102"/>
      <c r="F4" s="102"/>
      <c r="G4" s="102"/>
    </row>
    <row r="5" spans="2:7" x14ac:dyDescent="0.25">
      <c r="B5" s="104"/>
      <c r="C5" s="102"/>
      <c r="D5" s="102"/>
      <c r="E5" s="103" t="s">
        <v>118</v>
      </c>
      <c r="F5" s="102"/>
      <c r="G5" s="102"/>
    </row>
    <row r="6" spans="2:7" x14ac:dyDescent="0.25">
      <c r="B6" s="102"/>
      <c r="C6" s="102"/>
      <c r="D6" s="102"/>
      <c r="E6" s="103" t="s">
        <v>119</v>
      </c>
      <c r="F6" s="102"/>
      <c r="G6" s="102"/>
    </row>
    <row r="7" spans="2:7" s="113" customFormat="1" ht="15.75" thickBot="1" x14ac:dyDescent="0.3"/>
    <row r="8" spans="2:7" s="113" customFormat="1" ht="15" customHeight="1" thickBot="1" x14ac:dyDescent="0.3">
      <c r="B8" s="111" t="b">
        <v>0</v>
      </c>
      <c r="C8" s="112" t="s">
        <v>0</v>
      </c>
      <c r="D8" s="112"/>
      <c r="E8" s="143" t="s">
        <v>181</v>
      </c>
    </row>
    <row r="9" spans="2:7" s="113" customFormat="1" x14ac:dyDescent="0.25">
      <c r="E9" s="143"/>
    </row>
    <row r="10" spans="2:7" s="113" customFormat="1" ht="15.75" thickBot="1" x14ac:dyDescent="0.3"/>
    <row r="11" spans="2:7" s="113" customFormat="1" ht="15" customHeight="1" thickBot="1" x14ac:dyDescent="0.3">
      <c r="B11" s="111" t="b">
        <v>0</v>
      </c>
      <c r="C11" s="112" t="s">
        <v>1</v>
      </c>
      <c r="D11" s="112"/>
      <c r="E11" s="143" t="s">
        <v>182</v>
      </c>
    </row>
    <row r="12" spans="2:7" s="113" customFormat="1" x14ac:dyDescent="0.25">
      <c r="E12" s="143"/>
    </row>
    <row r="13" spans="2:7" s="113" customFormat="1" ht="11.25" customHeight="1" thickBot="1" x14ac:dyDescent="0.3"/>
    <row r="14" spans="2:7" s="113" customFormat="1" ht="15" customHeight="1" thickBot="1" x14ac:dyDescent="0.3">
      <c r="B14" s="111" t="s">
        <v>145</v>
      </c>
      <c r="C14" s="112" t="s">
        <v>6</v>
      </c>
      <c r="D14" s="112"/>
      <c r="E14" s="143" t="s">
        <v>183</v>
      </c>
    </row>
    <row r="15" spans="2:7" s="113" customFormat="1" x14ac:dyDescent="0.25">
      <c r="E15" s="143"/>
    </row>
    <row r="16" spans="2:7" s="113" customFormat="1" x14ac:dyDescent="0.25">
      <c r="E16" s="114"/>
    </row>
    <row r="17" spans="2:5" s="113" customFormat="1" x14ac:dyDescent="0.25">
      <c r="E17" s="114"/>
    </row>
    <row r="18" spans="2:5" s="113" customFormat="1" x14ac:dyDescent="0.25">
      <c r="E18" s="114"/>
    </row>
    <row r="19" spans="2:5" s="113" customFormat="1" x14ac:dyDescent="0.25">
      <c r="E19" s="114"/>
    </row>
    <row r="20" spans="2:5" s="113" customFormat="1" x14ac:dyDescent="0.25">
      <c r="E20" s="114"/>
    </row>
    <row r="21" spans="2:5" s="113" customFormat="1" x14ac:dyDescent="0.25">
      <c r="E21" s="114"/>
    </row>
    <row r="22" spans="2:5" s="113" customFormat="1" ht="15.75" thickBot="1" x14ac:dyDescent="0.3">
      <c r="E22" s="114"/>
    </row>
    <row r="23" spans="2:5" s="113" customFormat="1" ht="15.75" thickBot="1" x14ac:dyDescent="0.3">
      <c r="B23" s="111" t="s">
        <v>143</v>
      </c>
      <c r="C23" s="112" t="s">
        <v>7</v>
      </c>
      <c r="E23" s="114" t="s">
        <v>185</v>
      </c>
    </row>
    <row r="24" spans="2:5" s="113" customFormat="1" ht="9" customHeight="1" x14ac:dyDescent="0.25">
      <c r="E24" s="114"/>
    </row>
    <row r="25" spans="2:5" s="113" customFormat="1" x14ac:dyDescent="0.25">
      <c r="D25" s="113" t="s">
        <v>122</v>
      </c>
      <c r="E25" s="114" t="s">
        <v>186</v>
      </c>
    </row>
    <row r="26" spans="2:5" s="113" customFormat="1" x14ac:dyDescent="0.25">
      <c r="D26" s="113" t="s">
        <v>123</v>
      </c>
      <c r="E26" s="114" t="s">
        <v>187</v>
      </c>
    </row>
    <row r="27" spans="2:5" s="113" customFormat="1" x14ac:dyDescent="0.25">
      <c r="D27" s="113" t="s">
        <v>124</v>
      </c>
      <c r="E27" s="114" t="s">
        <v>188</v>
      </c>
    </row>
    <row r="28" spans="2:5" s="113" customFormat="1" x14ac:dyDescent="0.25">
      <c r="D28" s="113" t="s">
        <v>125</v>
      </c>
      <c r="E28" s="114" t="s">
        <v>189</v>
      </c>
    </row>
    <row r="29" spans="2:5" s="113" customFormat="1" x14ac:dyDescent="0.25">
      <c r="D29" s="113" t="s">
        <v>126</v>
      </c>
      <c r="E29" s="114" t="s">
        <v>184</v>
      </c>
    </row>
    <row r="30" spans="2:5" s="113" customFormat="1" ht="8.25" customHeight="1" thickBot="1" x14ac:dyDescent="0.3">
      <c r="E30" s="114"/>
    </row>
    <row r="31" spans="2:5" s="113" customFormat="1" ht="15.75" thickBot="1" x14ac:dyDescent="0.3">
      <c r="B31" s="111" t="s">
        <v>194</v>
      </c>
      <c r="C31" s="112" t="s">
        <v>120</v>
      </c>
      <c r="E31" s="114" t="s">
        <v>190</v>
      </c>
    </row>
    <row r="32" spans="2:5" s="113" customFormat="1" ht="6" customHeight="1" x14ac:dyDescent="0.25">
      <c r="E32" s="114"/>
    </row>
    <row r="33" spans="2:5" s="113" customFormat="1" x14ac:dyDescent="0.25">
      <c r="D33" s="113" t="s">
        <v>122</v>
      </c>
      <c r="E33" s="114" t="s">
        <v>186</v>
      </c>
    </row>
    <row r="34" spans="2:5" s="113" customFormat="1" x14ac:dyDescent="0.25">
      <c r="D34" s="113" t="s">
        <v>123</v>
      </c>
      <c r="E34" s="114" t="s">
        <v>187</v>
      </c>
    </row>
    <row r="35" spans="2:5" s="113" customFormat="1" x14ac:dyDescent="0.25">
      <c r="D35" s="113" t="s">
        <v>124</v>
      </c>
      <c r="E35" s="114" t="s">
        <v>193</v>
      </c>
    </row>
    <row r="36" spans="2:5" s="113" customFormat="1" x14ac:dyDescent="0.25">
      <c r="D36" s="113" t="s">
        <v>125</v>
      </c>
      <c r="E36" s="114" t="s">
        <v>191</v>
      </c>
    </row>
    <row r="37" spans="2:5" s="113" customFormat="1" x14ac:dyDescent="0.25">
      <c r="D37" s="113" t="s">
        <v>126</v>
      </c>
      <c r="E37" s="114" t="s">
        <v>192</v>
      </c>
    </row>
    <row r="38" spans="2:5" s="113" customFormat="1" ht="9" customHeight="1" thickBot="1" x14ac:dyDescent="0.3">
      <c r="E38" s="114"/>
    </row>
    <row r="39" spans="2:5" s="113" customFormat="1" ht="15" customHeight="1" thickBot="1" x14ac:dyDescent="0.3">
      <c r="B39" s="111" t="b">
        <v>1</v>
      </c>
      <c r="C39" s="112" t="s">
        <v>121</v>
      </c>
      <c r="D39" s="112"/>
      <c r="E39" s="143" t="s">
        <v>195</v>
      </c>
    </row>
    <row r="40" spans="2:5" s="113" customFormat="1" x14ac:dyDescent="0.25">
      <c r="E40" s="143"/>
    </row>
    <row r="41" spans="2:5" s="113" customFormat="1" ht="8.25" customHeight="1" thickBot="1" x14ac:dyDescent="0.3">
      <c r="E41" s="114"/>
    </row>
    <row r="42" spans="2:5" s="113" customFormat="1" ht="15" customHeight="1" thickBot="1" x14ac:dyDescent="0.3">
      <c r="B42" s="111" t="b">
        <v>0</v>
      </c>
      <c r="C42" s="112" t="s">
        <v>127</v>
      </c>
      <c r="D42" s="112"/>
      <c r="E42" s="143" t="s">
        <v>196</v>
      </c>
    </row>
    <row r="43" spans="2:5" s="113" customFormat="1" x14ac:dyDescent="0.25">
      <c r="E43" s="143"/>
    </row>
    <row r="44" spans="2:5" s="113" customFormat="1" ht="8.25" customHeight="1" thickBot="1" x14ac:dyDescent="0.3">
      <c r="E44" s="114"/>
    </row>
    <row r="45" spans="2:5" s="113" customFormat="1" ht="15" customHeight="1" thickBot="1" x14ac:dyDescent="0.3">
      <c r="B45" s="111" t="b">
        <v>0</v>
      </c>
      <c r="C45" s="112" t="s">
        <v>128</v>
      </c>
      <c r="D45" s="112"/>
      <c r="E45" s="143" t="s">
        <v>197</v>
      </c>
    </row>
    <row r="46" spans="2:5" s="113" customFormat="1" x14ac:dyDescent="0.25">
      <c r="E46" s="143"/>
    </row>
    <row r="47" spans="2:5" s="113" customFormat="1" ht="7.5" customHeight="1" thickBot="1" x14ac:dyDescent="0.3">
      <c r="E47" s="114"/>
    </row>
    <row r="48" spans="2:5" s="113" customFormat="1" ht="15" customHeight="1" thickBot="1" x14ac:dyDescent="0.3">
      <c r="B48" s="111" t="b">
        <v>1</v>
      </c>
      <c r="C48" s="112" t="s">
        <v>129</v>
      </c>
      <c r="D48" s="112"/>
      <c r="E48" s="143" t="s">
        <v>198</v>
      </c>
    </row>
    <row r="49" spans="2:5" s="113" customFormat="1" x14ac:dyDescent="0.25">
      <c r="E49" s="143"/>
    </row>
    <row r="50" spans="2:5" s="113" customFormat="1" ht="9" customHeight="1" thickBot="1" x14ac:dyDescent="0.3">
      <c r="E50" s="114"/>
    </row>
    <row r="51" spans="2:5" s="113" customFormat="1" ht="15" customHeight="1" thickBot="1" x14ac:dyDescent="0.3">
      <c r="B51" s="111" t="b">
        <v>0</v>
      </c>
      <c r="C51" s="112" t="s">
        <v>130</v>
      </c>
      <c r="D51" s="112"/>
      <c r="E51" s="143" t="s">
        <v>199</v>
      </c>
    </row>
    <row r="52" spans="2:5" s="113" customFormat="1" x14ac:dyDescent="0.25">
      <c r="E52" s="143"/>
    </row>
    <row r="53" spans="2:5" s="113" customFormat="1" ht="6" customHeight="1" thickBot="1" x14ac:dyDescent="0.3">
      <c r="E53" s="114"/>
    </row>
    <row r="54" spans="2:5" s="113" customFormat="1" ht="15" customHeight="1" thickBot="1" x14ac:dyDescent="0.3">
      <c r="B54" s="111" t="b">
        <v>0</v>
      </c>
      <c r="C54" s="112" t="s">
        <v>200</v>
      </c>
      <c r="D54" s="112"/>
      <c r="E54" s="143" t="s">
        <v>201</v>
      </c>
    </row>
    <row r="55" spans="2:5" s="113" customFormat="1" x14ac:dyDescent="0.25">
      <c r="E55" s="143"/>
    </row>
    <row r="56" spans="2:5" s="113" customFormat="1" ht="15.75" thickBot="1" x14ac:dyDescent="0.3">
      <c r="E56" s="114"/>
    </row>
    <row r="57" spans="2:5" s="113" customFormat="1" ht="15.75" thickBot="1" x14ac:dyDescent="0.3">
      <c r="B57" s="111" t="s">
        <v>145</v>
      </c>
      <c r="C57" s="112" t="s">
        <v>202</v>
      </c>
      <c r="D57" s="112"/>
      <c r="E57" s="143" t="s">
        <v>132</v>
      </c>
    </row>
    <row r="58" spans="2:5" s="113" customFormat="1" ht="45" customHeight="1" x14ac:dyDescent="0.25">
      <c r="E58" s="143"/>
    </row>
    <row r="59" spans="2:5" s="113" customFormat="1" x14ac:dyDescent="0.25">
      <c r="D59" s="113" t="s">
        <v>122</v>
      </c>
      <c r="E59" s="113" t="s">
        <v>133</v>
      </c>
    </row>
    <row r="60" spans="2:5" s="113" customFormat="1" x14ac:dyDescent="0.25">
      <c r="D60" s="113" t="s">
        <v>123</v>
      </c>
      <c r="E60" s="113" t="s">
        <v>134</v>
      </c>
    </row>
    <row r="61" spans="2:5" s="113" customFormat="1" x14ac:dyDescent="0.25">
      <c r="D61" s="113" t="s">
        <v>124</v>
      </c>
      <c r="E61" s="113" t="s">
        <v>203</v>
      </c>
    </row>
    <row r="62" spans="2:5" s="113" customFormat="1" x14ac:dyDescent="0.25">
      <c r="D62" s="113" t="s">
        <v>125</v>
      </c>
      <c r="E62" s="113" t="s">
        <v>23</v>
      </c>
    </row>
    <row r="63" spans="2:5" s="113" customFormat="1" x14ac:dyDescent="0.25">
      <c r="D63" s="113" t="s">
        <v>126</v>
      </c>
      <c r="E63" s="113" t="s">
        <v>135</v>
      </c>
    </row>
    <row r="64" spans="2:5" s="113" customFormat="1" ht="15.75" thickBot="1" x14ac:dyDescent="0.3"/>
    <row r="65" spans="1:8" ht="15.75" thickBot="1" x14ac:dyDescent="0.3">
      <c r="A65" s="140" t="s">
        <v>131</v>
      </c>
      <c r="B65" s="141"/>
      <c r="C65" s="141"/>
      <c r="D65" s="141"/>
      <c r="E65" s="141"/>
      <c r="F65" s="141"/>
      <c r="G65" s="141"/>
      <c r="H65" s="142"/>
    </row>
    <row r="67" spans="1:8" x14ac:dyDescent="0.25">
      <c r="A67" s="102">
        <v>1</v>
      </c>
      <c r="B67" s="127" t="b">
        <f>B8</f>
        <v>0</v>
      </c>
      <c r="C67" s="102"/>
      <c r="D67" s="102"/>
      <c r="E67" s="102"/>
      <c r="F67" s="102"/>
      <c r="G67" s="102"/>
      <c r="H67" s="102"/>
    </row>
    <row r="68" spans="1:8" x14ac:dyDescent="0.25">
      <c r="A68" s="102">
        <v>2</v>
      </c>
      <c r="B68" s="127" t="b">
        <f>B11</f>
        <v>0</v>
      </c>
      <c r="C68" s="102"/>
      <c r="D68" s="102"/>
      <c r="E68" s="102"/>
      <c r="F68" s="102"/>
      <c r="G68" s="102"/>
      <c r="H68" s="102"/>
    </row>
    <row r="69" spans="1:8" x14ac:dyDescent="0.25">
      <c r="A69" s="102">
        <v>3</v>
      </c>
      <c r="B69" s="128" t="str">
        <f>B14</f>
        <v>C</v>
      </c>
      <c r="C69" s="102"/>
      <c r="D69" s="102"/>
      <c r="E69" s="102"/>
      <c r="F69" s="102"/>
      <c r="G69" s="102"/>
      <c r="H69" s="102"/>
    </row>
    <row r="70" spans="1:8" x14ac:dyDescent="0.25">
      <c r="A70" s="102">
        <v>4</v>
      </c>
      <c r="B70" s="128" t="str">
        <f>B23</f>
        <v>E</v>
      </c>
      <c r="C70" s="102"/>
      <c r="D70" s="102"/>
      <c r="E70" s="102"/>
      <c r="F70" s="102"/>
      <c r="G70" s="102"/>
      <c r="H70" s="102"/>
    </row>
    <row r="71" spans="1:8" x14ac:dyDescent="0.25">
      <c r="A71" s="102">
        <v>5</v>
      </c>
      <c r="B71" s="128" t="str">
        <f>B31</f>
        <v>B</v>
      </c>
      <c r="C71" s="102"/>
      <c r="D71" s="102"/>
      <c r="E71" s="102"/>
      <c r="F71" s="102"/>
      <c r="G71" s="102"/>
      <c r="H71" s="102"/>
    </row>
    <row r="72" spans="1:8" x14ac:dyDescent="0.25">
      <c r="A72" s="102">
        <v>6</v>
      </c>
      <c r="B72" s="127" t="b">
        <f>B39</f>
        <v>1</v>
      </c>
      <c r="C72" s="102"/>
      <c r="D72" s="102"/>
      <c r="E72" s="102"/>
      <c r="F72" s="102"/>
      <c r="G72" s="102"/>
      <c r="H72" s="102"/>
    </row>
    <row r="73" spans="1:8" x14ac:dyDescent="0.25">
      <c r="A73" s="102">
        <v>7</v>
      </c>
      <c r="B73" s="127" t="b">
        <f>B42</f>
        <v>0</v>
      </c>
      <c r="C73" s="102"/>
      <c r="D73" s="102"/>
      <c r="E73" s="102"/>
      <c r="F73" s="102"/>
      <c r="G73" s="102"/>
      <c r="H73" s="102"/>
    </row>
    <row r="74" spans="1:8" x14ac:dyDescent="0.25">
      <c r="A74" s="102">
        <v>8</v>
      </c>
      <c r="B74" s="127" t="b">
        <f>B45</f>
        <v>0</v>
      </c>
      <c r="C74" s="102"/>
      <c r="D74" s="102"/>
      <c r="E74" s="102"/>
      <c r="F74" s="102"/>
      <c r="G74" s="102"/>
      <c r="H74" s="102"/>
    </row>
    <row r="75" spans="1:8" x14ac:dyDescent="0.25">
      <c r="A75" s="102">
        <v>9</v>
      </c>
      <c r="B75" s="127" t="b">
        <f>B48</f>
        <v>1</v>
      </c>
      <c r="C75" s="102"/>
      <c r="D75" s="102"/>
      <c r="E75" s="102"/>
      <c r="F75" s="102"/>
      <c r="G75" s="102"/>
      <c r="H75" s="102"/>
    </row>
    <row r="76" spans="1:8" x14ac:dyDescent="0.25">
      <c r="A76" s="102">
        <v>10</v>
      </c>
      <c r="B76" s="127" t="b">
        <f>B51</f>
        <v>0</v>
      </c>
      <c r="C76" s="102"/>
      <c r="D76" s="102"/>
      <c r="E76" s="102"/>
      <c r="F76" s="102"/>
      <c r="G76" s="102"/>
      <c r="H76" s="102"/>
    </row>
    <row r="77" spans="1:8" x14ac:dyDescent="0.25">
      <c r="A77" s="113">
        <v>11</v>
      </c>
      <c r="B77" s="127" t="b">
        <f>B54</f>
        <v>0</v>
      </c>
    </row>
    <row r="78" spans="1:8" x14ac:dyDescent="0.25">
      <c r="A78" s="113">
        <v>12</v>
      </c>
      <c r="B78" s="128" t="str">
        <f>B57</f>
        <v>C</v>
      </c>
    </row>
    <row r="79" spans="1:8" x14ac:dyDescent="0.25">
      <c r="B79" s="127"/>
    </row>
    <row r="80" spans="1:8" x14ac:dyDescent="0.25">
      <c r="B80" s="127"/>
    </row>
  </sheetData>
  <mergeCells count="11">
    <mergeCell ref="A65:H65"/>
    <mergeCell ref="E8:E9"/>
    <mergeCell ref="E11:E12"/>
    <mergeCell ref="E14:E15"/>
    <mergeCell ref="E39:E40"/>
    <mergeCell ref="E42:E43"/>
    <mergeCell ref="E45:E46"/>
    <mergeCell ref="E48:E49"/>
    <mergeCell ref="E51:E52"/>
    <mergeCell ref="E54:E55"/>
    <mergeCell ref="E57:E5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P1 - 30 Pts</vt:lpstr>
      <vt:lpstr>P2 - 5 Pts</vt:lpstr>
      <vt:lpstr>P3 - 10 Pts</vt:lpstr>
      <vt:lpstr>P4 - 15 Pts</vt:lpstr>
      <vt:lpstr>P5 - 20 Pts</vt:lpstr>
      <vt:lpstr>MC-TF - 20 Pts</vt:lpstr>
      <vt:lpstr>'P4 - 15 Pts'!OLE_LINK1</vt:lpstr>
      <vt:lpstr>Periods</vt:lpstr>
      <vt:lpstr>'P5 - 20 Pts'!Print_Area</vt:lpstr>
      <vt:lpstr>Rate</vt:lpstr>
      <vt:lpstr>Term</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 Hawley</cp:lastModifiedBy>
  <cp:lastPrinted>2010-04-05T16:12:33Z</cp:lastPrinted>
  <dcterms:created xsi:type="dcterms:W3CDTF">2010-01-13T00:10:02Z</dcterms:created>
  <dcterms:modified xsi:type="dcterms:W3CDTF">2013-04-02T00:19:17Z</dcterms:modified>
</cp:coreProperties>
</file>