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Dropbox\Class\Spring 2014\Exam 2\"/>
    </mc:Choice>
  </mc:AlternateContent>
  <bookViews>
    <workbookView xWindow="6420" yWindow="90" windowWidth="20130" windowHeight="7980" tabRatio="681" firstSheet="1" activeTab="4"/>
  </bookViews>
  <sheets>
    <sheet name="Instructions" sheetId="18" r:id="rId1"/>
    <sheet name="P1 - 30 Pts" sheetId="2" r:id="rId2"/>
    <sheet name="P2 - 5 Pts" sheetId="10" r:id="rId3"/>
    <sheet name="P3 - 10 Pts" sheetId="14" r:id="rId4"/>
    <sheet name="P4 - 15 Pts" sheetId="1" r:id="rId5"/>
    <sheet name="P5 - 20 Pts" sheetId="16" r:id="rId6"/>
    <sheet name="MC-TF - 20 Pts" sheetId="13" r:id="rId7"/>
    <sheet name="Sheet1" sheetId="17" r:id="rId8"/>
  </sheets>
  <definedNames>
    <definedName name="OLE_LINK1" localSheetId="4">'P4 - 15 Pts'!$C$55</definedName>
    <definedName name="Periods">'P1 - 30 Pts'!$O$21</definedName>
    <definedName name="Rate">'P1 - 30 Pts'!$F$23</definedName>
    <definedName name="Term">'P1 - 30 Pts'!$F$22</definedName>
  </definedNames>
  <calcPr calcId="152511"/>
</workbook>
</file>

<file path=xl/calcChain.xml><?xml version="1.0" encoding="utf-8"?>
<calcChain xmlns="http://schemas.openxmlformats.org/spreadsheetml/2006/main">
  <c r="E61" i="1" l="1"/>
  <c r="D34" i="1" l="1"/>
  <c r="H26" i="1"/>
  <c r="H25" i="1"/>
  <c r="H24" i="1"/>
  <c r="H23" i="1"/>
  <c r="H22" i="1"/>
  <c r="H21" i="1"/>
  <c r="C16" i="17" l="1"/>
  <c r="C15" i="17"/>
  <c r="C14" i="17"/>
  <c r="C13" i="17"/>
  <c r="C12" i="17"/>
  <c r="C11" i="17"/>
  <c r="C10" i="17"/>
  <c r="C9" i="17"/>
  <c r="C8" i="17"/>
  <c r="C7" i="17"/>
  <c r="C6" i="17"/>
  <c r="C5" i="17"/>
  <c r="C4" i="17"/>
  <c r="E68" i="16" l="1"/>
  <c r="D68" i="16"/>
  <c r="E65" i="16"/>
  <c r="E69" i="16" s="1"/>
  <c r="E63" i="16"/>
  <c r="D63" i="16"/>
  <c r="D65" i="16" s="1"/>
  <c r="D69" i="16" s="1"/>
  <c r="I60" i="16"/>
  <c r="J60" i="16" s="1"/>
  <c r="H60" i="16"/>
  <c r="E57" i="16"/>
  <c r="D57" i="16"/>
  <c r="F55" i="16"/>
  <c r="E54" i="16"/>
  <c r="E58" i="16" s="1"/>
  <c r="D54" i="16"/>
  <c r="D58" i="16" s="1"/>
  <c r="I53" i="16"/>
  <c r="H53" i="16"/>
  <c r="J53" i="16" s="1"/>
  <c r="J52" i="16"/>
  <c r="I52" i="16"/>
  <c r="H52" i="16"/>
  <c r="F44" i="16"/>
  <c r="F42" i="16"/>
  <c r="F56" i="16" s="1"/>
  <c r="F57" i="16" s="1"/>
  <c r="J40" i="16"/>
  <c r="I40" i="16"/>
  <c r="H40" i="16"/>
  <c r="E39" i="16"/>
  <c r="E43" i="16" s="1"/>
  <c r="E45" i="16" s="1"/>
  <c r="E47" i="16" s="1"/>
  <c r="D39" i="16"/>
  <c r="D43" i="16" s="1"/>
  <c r="D45" i="16" s="1"/>
  <c r="D47" i="16" s="1"/>
  <c r="I38" i="16"/>
  <c r="J38" i="16" s="1"/>
  <c r="H38" i="16"/>
  <c r="F37" i="16"/>
  <c r="F53" i="16" l="1"/>
  <c r="F40" i="16"/>
  <c r="F52" i="16"/>
  <c r="F54" i="16" s="1"/>
  <c r="F58" i="16" s="1"/>
  <c r="F38" i="16"/>
  <c r="F39" i="16" s="1"/>
  <c r="F43" i="16" s="1"/>
  <c r="F45" i="16" s="1"/>
  <c r="F60" i="16"/>
  <c r="F63" i="16" s="1"/>
  <c r="F65" i="16" s="1"/>
  <c r="F46" i="16" l="1"/>
  <c r="F47" i="16"/>
  <c r="F67" i="16" s="1"/>
  <c r="F68" i="16" s="1"/>
  <c r="F69" i="16"/>
  <c r="F72" i="16" s="1"/>
  <c r="E63" i="1" l="1"/>
  <c r="E64" i="1" s="1"/>
  <c r="E65" i="1" s="1"/>
  <c r="E66" i="1" s="1"/>
  <c r="E62" i="1"/>
  <c r="E74" i="1" l="1"/>
  <c r="I20" i="14"/>
  <c r="I27" i="14" l="1"/>
  <c r="I28" i="14" l="1"/>
  <c r="E22" i="1"/>
  <c r="E23" i="1" s="1"/>
  <c r="E24" i="1" s="1"/>
  <c r="I21" i="14" l="1"/>
  <c r="I29" i="14"/>
  <c r="I22" i="14" l="1"/>
  <c r="I30" i="14"/>
  <c r="I23" i="14" s="1"/>
  <c r="F46" i="1" l="1"/>
  <c r="F45" i="1"/>
  <c r="F44" i="1"/>
  <c r="F43" i="1"/>
  <c r="E25" i="1"/>
  <c r="G19" i="10" l="1"/>
  <c r="G23" i="10" l="1"/>
  <c r="G31" i="10" s="1"/>
  <c r="G30" i="2"/>
  <c r="O21" i="2"/>
  <c r="D31" i="2" l="1"/>
  <c r="D35" i="2" s="1"/>
  <c r="H25" i="2"/>
  <c r="E31" i="2"/>
  <c r="D90" i="2"/>
  <c r="D89" i="2"/>
  <c r="D88" i="2"/>
  <c r="D87" i="2"/>
  <c r="D86" i="2"/>
  <c r="D85" i="2"/>
  <c r="D84" i="2"/>
  <c r="D83" i="2"/>
  <c r="D82" i="2"/>
  <c r="D81" i="2"/>
  <c r="D80" i="2"/>
  <c r="D79" i="2"/>
  <c r="D67" i="2" l="1"/>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F32" i="2" l="1"/>
  <c r="G32" i="2" s="1"/>
  <c r="E33" i="2" s="1"/>
  <c r="F33" i="2" s="1"/>
  <c r="G33" i="2" s="1"/>
  <c r="E34" i="2" s="1"/>
  <c r="F34" i="2" s="1"/>
  <c r="G34" i="2" s="1"/>
  <c r="E35" i="2" s="1"/>
  <c r="F35" i="2" s="1"/>
  <c r="G35" i="2" s="1"/>
  <c r="E36" i="2" s="1"/>
  <c r="F36" i="2" s="1"/>
  <c r="G36" i="2" s="1"/>
  <c r="E37" i="2" l="1"/>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<sst xmlns="http://schemas.openxmlformats.org/spreadsheetml/2006/main" count="265" uniqueCount="213">
  <si>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</si>
  <si>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</si>
  <si>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</si>
  <si>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</si>
  <si>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</si>
  <si>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</si>
  <si>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</si>
  <si>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</si>
  <si>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</si>
  <si>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</si>
  <si>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</si>
  <si>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</si>
  <si>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</si>
  <si>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</si>
  <si>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</si>
  <si>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</si>
  <si>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</si>
  <si>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</si>
  <si>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</si>
  <si>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</si>
  <si>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</si>
  <si>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</si>
  <si>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</si>
  <si>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</si>
  <si>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</si>
  <si>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</si>
  <si>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</si>
  <si>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</si>
  <si>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</si>
  <si>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</si>
  <si>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</si>
  <si>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</si>
  <si>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</si>
  <si>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</si>
  <si>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</si>
  <si>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</si>
  <si>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</si>
  <si>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</si>
  <si>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</si>
  <si>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</si>
  <si>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</si>
  <si>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</si>
  <si>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</si>
  <si>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</si>
  <si>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</si>
  <si>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</si>
  <si>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</si>
  <si>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</si>
  <si>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</si>
  <si>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</si>
  <si>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</si>
  <si>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</si>
  <si>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</si>
  <si>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NOTHING SHOULD BE USED OR ACCESSED BY YOU DURING THIS</t>
  </si>
  <si>
    <t>Points are shown on each tab. Partial credit will be given where possible.</t>
  </si>
  <si>
    <t>Interest Rate on Long Term Debt</t>
  </si>
  <si>
    <t>Interest Rate on Short Term Notes Payable</t>
  </si>
  <si>
    <t>INPUTS</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</si>
  <si>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</si>
  <si>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</si>
  <si>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</si>
  <si>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</si>
  <si>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</si>
  <si>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</si>
  <si>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</si>
  <si>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</si>
  <si>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</si>
  <si>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</si>
  <si>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</si>
  <si>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</si>
  <si>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</si>
  <si>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</si>
  <si>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</si>
  <si>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</si>
  <si>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</si>
  <si>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</si>
  <si>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</si>
  <si>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</si>
  <si>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</si>
  <si>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</si>
  <si>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</si>
  <si>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</si>
  <si>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</si>
  <si>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</si>
  <si>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</si>
  <si>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</si>
  <si>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</si>
  <si>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</si>
  <si>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</si>
  <si>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</si>
  <si>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</si>
  <si>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</si>
  <si>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</si>
  <si>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</si>
  <si>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</si>
  <si>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</si>
  <si>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</si>
  <si>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Points as marked for each question.</t>
  </si>
  <si>
    <t xml:space="preserve">some other amount in the final year. </t>
  </si>
  <si>
    <t>Computations</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</si>
  <si>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</si>
  <si>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</si>
  <si>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</si>
  <si>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</si>
  <si>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</si>
  <si>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</si>
  <si>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</si>
  <si>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There are 7 tabbed pages in this exam spreadsheet including this one.</t>
  </si>
  <si>
    <t>For multiple choice questions, enter the letter of the best reponse in the yellow cell.</t>
  </si>
  <si>
    <t>5.</t>
  </si>
  <si>
    <t>6.</t>
  </si>
  <si>
    <t>A.</t>
  </si>
  <si>
    <t>B.</t>
  </si>
  <si>
    <t>C.</t>
  </si>
  <si>
    <t>D.</t>
  </si>
  <si>
    <t>E.</t>
  </si>
  <si>
    <t>7.</t>
  </si>
  <si>
    <t>8.</t>
  </si>
  <si>
    <t>9.</t>
  </si>
  <si>
    <t>10.</t>
  </si>
  <si>
    <t>When projecting pro-forma income statements and balance sheets using the percent of sales method, which of the following are typically not assumed to maintain the same percentage ralationship to sales over time?</t>
  </si>
  <si>
    <t>Accounts receivable</t>
  </si>
  <si>
    <t>Account payable</t>
  </si>
  <si>
    <t>All of the above would typically maintain the same percentage relationship to sales.</t>
  </si>
  <si>
    <t>Percent Change in Sales from 2012</t>
  </si>
  <si>
    <t>Tax Rate for 2013</t>
  </si>
  <si>
    <t>Common Stock Dividend for 2013</t>
  </si>
  <si>
    <t>Expected addition to Plant and Equipment in 2013</t>
  </si>
  <si>
    <t>Additional depreciation on new Plant/Equip in 2013</t>
  </si>
  <si>
    <t>Excess/(Deficit) Financing for 2013</t>
  </si>
  <si>
    <t>C</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</si>
  <si>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</si>
  <si>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</si>
  <si>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</si>
  <si>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</si>
  <si>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</si>
  <si>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</si>
  <si>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</si>
  <si>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</si>
  <si>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</si>
  <si>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</si>
  <si>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</si>
  <si>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</si>
  <si>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</si>
  <si>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</si>
  <si>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</si>
  <si>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The inputs below are for a monthly payment amortizing loan with a maximum term of 5 years:</t>
  </si>
  <si>
    <t>Term of Loan in Years (1 to 5)</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</si>
  <si>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</si>
  <si>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 xml:space="preserve">for the first four years, but then will pay an equal amount each year for 5 years, and then </t>
  </si>
  <si>
    <r>
      <t>Your formulas should work for any reasonable value of the input.</t>
    </r>
    <r>
      <rPr>
        <b/>
        <sz val="11"/>
        <color theme="1"/>
        <rFont val="Calibri"/>
        <family val="2"/>
        <scheme val="minor"/>
      </rPr>
      <t xml:space="preserve"> [3 Points]</t>
    </r>
  </si>
  <si>
    <t>PV at t=0 of CF2-4</t>
  </si>
  <si>
    <t>PV at t=0 of CF8-10</t>
  </si>
  <si>
    <t>Value of unknowns at t=4</t>
  </si>
  <si>
    <r>
      <t>hard-code the numbers in the formulas but the formulas must be shown.</t>
    </r>
    <r>
      <rPr>
        <b/>
        <sz val="11"/>
        <color theme="1"/>
        <rFont val="Calibri"/>
        <family val="2"/>
        <scheme val="minor"/>
      </rPr>
      <t xml:space="preserve"> [4 Points ]</t>
    </r>
  </si>
  <si>
    <r>
      <t>given in the input cell.</t>
    </r>
    <r>
      <rPr>
        <b/>
        <sz val="11"/>
        <color theme="1"/>
        <rFont val="Calibri"/>
        <family val="2"/>
        <scheme val="minor"/>
      </rPr>
      <t xml:space="preserve"> [2 Points]</t>
    </r>
  </si>
  <si>
    <t xml:space="preserve">the EBIT from the table at the right for the year </t>
  </si>
  <si>
    <t xml:space="preserve">The table below gives the annual sales for a company from </t>
  </si>
  <si>
    <t>sales on the y-axis and the year on the x-axis, and that includes</t>
  </si>
  <si>
    <t>Format your chart appropriately. Set the x axis to start at 2005</t>
  </si>
  <si>
    <t>The risk/return tradeoff says that in order to make a higher rate of return over time, you must take higher risk.</t>
  </si>
  <si>
    <t>None of the above</t>
  </si>
  <si>
    <t>Investor risk aversion decreases</t>
  </si>
  <si>
    <t>The real rate of interest increases</t>
  </si>
  <si>
    <t>Expected inflation increases</t>
  </si>
  <si>
    <t>More than one of the above</t>
  </si>
  <si>
    <t>The risk premium on the market portfolio increases</t>
  </si>
  <si>
    <t>More than one of the above is an exception</t>
  </si>
  <si>
    <t>Expected inflation decreases</t>
  </si>
  <si>
    <t>For any positive interest rate, increasing the compounding frequency will increase the future value of an investment.</t>
  </si>
  <si>
    <t>11.</t>
  </si>
  <si>
    <t>The "real" rate of interest increases as the risk of an investment increases, other things equal.</t>
  </si>
  <si>
    <t>12.</t>
  </si>
  <si>
    <t>Retained Earnings</t>
  </si>
  <si>
    <t xml:space="preserve">if the discount rate is 8% per year compounded annually. The three missing cash flows, </t>
  </si>
  <si>
    <t>The total present value of all of the cash flows, including the three missing ones, is $4000</t>
  </si>
  <si>
    <t>2005-2013. Use that data to create a scatter chart with lines that shows</t>
  </si>
  <si>
    <t>a trendline showing the best linear estimate of sales for 2014,</t>
  </si>
  <si>
    <t>2015, and 2016 based on the given past sales amounts.</t>
  </si>
  <si>
    <r>
      <t xml:space="preserve"> and ends at 2016, and make sure every year displays.</t>
    </r>
    <r>
      <rPr>
        <b/>
        <sz val="11"/>
        <color theme="1"/>
        <rFont val="Calibri"/>
        <family val="2"/>
        <scheme val="minor"/>
      </rPr>
      <t xml:space="preserve"> [4 Points]</t>
    </r>
  </si>
  <si>
    <t xml:space="preserve">The expected rate of return on an investment is the rate that makes the present value of the expected cash inflows equal the present value of the expected cash outflows. </t>
  </si>
  <si>
    <t>13.</t>
  </si>
  <si>
    <t>Objective Section -- 20 Points Possible</t>
  </si>
  <si>
    <t>-2 Points for each incorrect answer -- Zero minimum</t>
  </si>
  <si>
    <t>T or F</t>
  </si>
  <si>
    <t>For True/False questions, enter T or F in the yellow cell.</t>
  </si>
  <si>
    <t>Letter</t>
  </si>
  <si>
    <t xml:space="preserve">The "nonimal" or "stated" rate on a loan or investment is always less than the effective  rate except in the case of annual compounding when the nominal and effective rates are equal. </t>
  </si>
  <si>
    <t>T</t>
  </si>
  <si>
    <t xml:space="preserve">A series of identical cash flows that are expected to occur at equal time periods forever in the future is an annuity. </t>
  </si>
  <si>
    <t>F</t>
  </si>
  <si>
    <t>The difference between the total cash inflows and the total cash outflows during a period is known as the net cash flow.</t>
  </si>
  <si>
    <t>The slope of the security market line (SML) will decrease when</t>
  </si>
  <si>
    <t>A</t>
  </si>
  <si>
    <t>The height (y-intercept) of the SML will decrease for all of the following except</t>
  </si>
  <si>
    <t>Any stock that is less sensitive than average to changes in general economic conditions will have a beta coefficient less than one.</t>
  </si>
  <si>
    <t xml:space="preserve">The beta (β) coefficient is a measure of a stock's total risk or variance when it is held in isolation. </t>
  </si>
  <si>
    <t>A borrower would always prefer a longer compounding period for interest than a shorter compounding period, other things equal.</t>
  </si>
  <si>
    <t>Q</t>
  </si>
  <si>
    <t>Ans</t>
  </si>
  <si>
    <t xml:space="preserve">IMPORTANT: SAVE THIS SPREADSHEET TO THE DESKTOP OF THE </t>
  </si>
  <si>
    <r>
      <t xml:space="preserve">COMPUTER YOU ARE USING  </t>
    </r>
    <r>
      <rPr>
        <b/>
        <i/>
        <sz val="14"/>
        <color rgb="FF002060"/>
        <rFont val="Calibri"/>
        <family val="2"/>
        <scheme val="minor"/>
      </rPr>
      <t>WITH YOUR NAME IN THE FILENAME</t>
    </r>
    <r>
      <rPr>
        <b/>
        <sz val="14"/>
        <color rgb="FFFF0000"/>
        <rFont val="Calibri"/>
        <family val="2"/>
        <scheme val="minor"/>
      </rPr>
      <t>.</t>
    </r>
  </si>
  <si>
    <t>RESAVE IT OFTEN WHILE YOU ARE WORKING ON IT.</t>
  </si>
  <si>
    <t>TEST EXCEPT THE COMPUTER YOU ARE USING AND THIS FILE.</t>
  </si>
  <si>
    <t xml:space="preserve">THE PENALTY FOR ACADEMIC DISHONESTY IN THIS COURSE IS AN </t>
  </si>
  <si>
    <t xml:space="preserve">"F" GRADE FOR THE COURSE AND POSSIBLE EXPULSION FROM THE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</si>
  <si>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</si>
  <si>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</si>
  <si>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</si>
  <si>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</si>
  <si>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</si>
  <si>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Close Excel.</t>
  </si>
  <si>
    <t>Tell your proctor that you have finished.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</si>
</sst>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1"/>
      <color theme="1" tint="4.9989318521683403E-2"/>
      <name val="Calibri"/>
      <family val="2"/>
      <scheme val="minor"/>
    </font>
    <font>
      <b/>
      <sz val="14"/>
      <color theme="1"/>
      <name val="Calibri"/>
      <family val="2"/>
      <scheme val="minor"/>
    </font>
    <font>
      <b/>
      <i/>
      <sz val="14"/>
      <color rgb="FF00206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5"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5"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9" fontId="0" fillId="0" borderId="0" xfId="0" applyNumberForma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0" fontId="0" fillId="0" borderId="0" xfId="0" quotePrefix="1"/>
    <xf numFmtId="41" fontId="0" fillId="2" borderId="0" xfId="0" applyNumberFormat="1" applyFill="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quotePrefix="1"/>
    <xf numFmtId="0" fontId="0" fillId="0" borderId="0" xfId="0"/>
    <xf numFmtId="0" fontId="13" fillId="0" borderId="0" xfId="0" applyFont="1"/>
    <xf numFmtId="0" fontId="1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41" fontId="5" fillId="0" borderId="0" xfId="0" applyNumberFormat="1" applyFont="1"/>
    <xf numFmtId="164" fontId="0" fillId="4" borderId="6" xfId="2" applyNumberFormat="1" applyFont="1" applyFill="1" applyBorder="1"/>
    <xf numFmtId="0" fontId="11" fillId="0" borderId="0" xfId="0" applyFont="1"/>
    <xf numFmtId="43" fontId="0" fillId="2" borderId="1" xfId="1" applyFont="1" applyFill="1" applyBorder="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5"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applyBorder="1"/>
    <xf numFmtId="0" fontId="3" fillId="0" borderId="0" xfId="0" applyFont="1" applyAlignment="1">
      <alignment horizontal="left"/>
    </xf>
    <xf numFmtId="0" fontId="3" fillId="0" borderId="0" xfId="0" applyFont="1" applyAlignment="1">
      <alignment horizontal="left" indent="2"/>
    </xf>
    <xf numFmtId="0" fontId="12" fillId="6" borderId="17" xfId="0" applyFont="1" applyFill="1" applyBorder="1"/>
    <xf numFmtId="0" fontId="3" fillId="4" borderId="18" xfId="0" applyFont="1" applyFill="1" applyBorder="1" applyAlignment="1">
      <alignment horizontal="center"/>
    </xf>
    <xf numFmtId="164" fontId="0" fillId="4" borderId="19" xfId="2" applyNumberFormat="1" applyFont="1" applyFill="1" applyBorder="1"/>
    <xf numFmtId="164" fontId="0" fillId="4" borderId="7" xfId="2" applyNumberFormat="1" applyFont="1" applyFill="1" applyBorder="1"/>
    <xf numFmtId="0" fontId="0" fillId="0" borderId="0" xfId="0" applyAlignment="1">
      <alignment vertical="center"/>
    </xf>
    <xf numFmtId="41" fontId="8" fillId="5" borderId="14" xfId="0" quotePrefix="1" applyNumberFormat="1" applyFont="1" applyFill="1" applyBorder="1" applyAlignment="1">
      <alignment horizontal="center" vertical="center"/>
    </xf>
    <xf numFmtId="0" fontId="0" fillId="0" borderId="0" xfId="0" applyAlignment="1">
      <alignment horizontal="left" vertical="top" wrapText="1"/>
    </xf>
    <xf numFmtId="0" fontId="3" fillId="2" borderId="20" xfId="0" applyFont="1" applyFill="1" applyBorder="1" applyAlignment="1">
      <alignment horizontal="center"/>
    </xf>
    <xf numFmtId="0" fontId="3" fillId="2" borderId="21" xfId="0" applyFont="1" applyFill="1" applyBorder="1" applyAlignment="1">
      <alignment horizont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15" fillId="0" borderId="1" xfId="0" applyFont="1" applyBorder="1" applyAlignment="1">
      <alignment horizontal="center" vertical="center"/>
    </xf>
    <xf numFmtId="0" fontId="15" fillId="0" borderId="12" xfId="0" applyFont="1" applyBorder="1" applyAlignment="1">
      <alignment horizontal="center" vertic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5" borderId="14" xfId="0" applyNumberFormat="1" applyFont="1" applyFill="1" applyBorder="1" applyAlignment="1">
      <alignment horizontal="center" vertical="center"/>
    </xf>
    <xf numFmtId="41" fontId="8" fillId="5"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3" fillId="7" borderId="11"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'P4 - 15 Pts'!$D$89</c:f>
              <c:strCache>
                <c:ptCount val="1"/>
                <c:pt idx="0">
                  <c:v>Sales</c:v>
                </c:pt>
              </c:strCache>
            </c:strRef>
          </c:tx>
          <c:spPr>
            <a:ln w="19050"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trendline>
            <c:spPr>
              <a:ln w="25400" cap="rnd">
                <a:solidFill>
                  <a:schemeClr val="tx1"/>
                </a:solidFill>
                <a:prstDash val="sysDot"/>
              </a:ln>
              <a:effectLst/>
            </c:spPr>
            <c:trendlineType val="linear"/>
            <c:forward val="3"/>
            <c:dispRSqr val="0"/>
            <c:dispEq val="0"/>
          </c:trendline>
          <c:xVal>
            <c:numRef>
              <c:f>'P4 - 15 Pts'!$C$90:$C$98</c:f>
              <c:numCache>
                <c:formatCode>General</c:formatCode>
                <c:ptCount val="9"/>
                <c:pt idx="0">
                  <c:v>2005</c:v>
                </c:pt>
                <c:pt idx="1">
                  <c:v>2006</c:v>
                </c:pt>
                <c:pt idx="2">
                  <c:v>2007</c:v>
                </c:pt>
                <c:pt idx="3">
                  <c:v>2008</c:v>
                </c:pt>
                <c:pt idx="4">
                  <c:v>2009</c:v>
                </c:pt>
                <c:pt idx="5">
                  <c:v>2010</c:v>
                </c:pt>
                <c:pt idx="6">
                  <c:v>2011</c:v>
                </c:pt>
                <c:pt idx="7">
                  <c:v>2012</c:v>
                </c:pt>
                <c:pt idx="8">
                  <c:v>2013</c:v>
                </c:pt>
              </c:numCache>
            </c:numRef>
          </c:xVal>
          <c:yVal>
            <c:numRef>
              <c:f>'P4 - 15 Pts'!$D$90:$D$98</c:f>
              <c:numCache>
                <c:formatCode>_("$"* #,##0_);_("$"* \(#,##0\);_("$"* "-"??_);_(@_)</c:formatCode>
                <c:ptCount val="9"/>
                <c:pt idx="0">
                  <c:v>1345000</c:v>
                </c:pt>
                <c:pt idx="1">
                  <c:v>1472000</c:v>
                </c:pt>
                <c:pt idx="2">
                  <c:v>1725000</c:v>
                </c:pt>
                <c:pt idx="3">
                  <c:v>1815000</c:v>
                </c:pt>
                <c:pt idx="4">
                  <c:v>1750000</c:v>
                </c:pt>
                <c:pt idx="5">
                  <c:v>1949000</c:v>
                </c:pt>
                <c:pt idx="6">
                  <c:v>2045000</c:v>
                </c:pt>
                <c:pt idx="7">
                  <c:v>2450000</c:v>
                </c:pt>
                <c:pt idx="8">
                  <c:v>2258000</c:v>
                </c:pt>
              </c:numCache>
            </c:numRef>
          </c:yVal>
          <c:smooth val="0"/>
        </c:ser>
        <c:dLbls>
          <c:showLegendKey val="0"/>
          <c:showVal val="0"/>
          <c:showCatName val="0"/>
          <c:showSerName val="0"/>
          <c:showPercent val="0"/>
          <c:showBubbleSize val="0"/>
        </c:dLbls>
        <c:axId val="807076416"/>
        <c:axId val="807074240"/>
      </c:scatterChart>
      <c:valAx>
        <c:axId val="807076416"/>
        <c:scaling>
          <c:orientation val="minMax"/>
          <c:max val="2016"/>
          <c:min val="200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07074240"/>
        <c:crosses val="autoZero"/>
        <c:crossBetween val="midCat"/>
        <c:majorUnit val="1"/>
        <c:minorUnit val="1"/>
      </c:valAx>
      <c:valAx>
        <c:axId val="8070742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07076416"/>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5%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10</xdr:col>
      <xdr:colOff>315058</xdr:colOff>
      <xdr:row>9</xdr:row>
      <xdr:rowOff>124558</xdr:rowOff>
    </xdr:to>
    <xdr:sp macro="" textlink="">
      <xdr:nvSpPr>
        <xdr:cNvPr id="2" name="Line Callout 1 1"/>
        <xdr:cNvSpPr/>
      </xdr:nvSpPr>
      <xdr:spPr>
        <a:xfrm>
          <a:off x="4472629" y="542192"/>
          <a:ext cx="2599226"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a:t>
          </a:r>
          <a:endParaRPr lang="en-US" sz="1400" b="1"/>
        </a:p>
      </xdr:txBody>
    </xdr:sp>
    <xdr:clientData/>
  </xdr:twoCellAnchor>
  <xdr:twoCellAnchor editAs="oneCell">
    <xdr:from>
      <xdr:col>1</xdr:col>
      <xdr:colOff>50131</xdr:colOff>
      <xdr:row>47</xdr:row>
      <xdr:rowOff>100263</xdr:rowOff>
    </xdr:from>
    <xdr:to>
      <xdr:col>10</xdr:col>
      <xdr:colOff>508836</xdr:colOff>
      <xdr:row>51</xdr:row>
      <xdr:rowOff>557463</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763" y="10166684"/>
          <a:ext cx="7186362"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280737</xdr:colOff>
      <xdr:row>87</xdr:row>
      <xdr:rowOff>157414</xdr:rowOff>
    </xdr:from>
    <xdr:to>
      <xdr:col>10</xdr:col>
      <xdr:colOff>365961</xdr:colOff>
      <xdr:row>102</xdr:row>
      <xdr:rowOff>13035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52</xdr:row>
      <xdr:rowOff>0</xdr:rowOff>
    </xdr:from>
    <xdr:to>
      <xdr:col>11</xdr:col>
      <xdr:colOff>70185</xdr:colOff>
      <xdr:row>62</xdr:row>
      <xdr:rowOff>70185</xdr:rowOff>
    </xdr:to>
    <xdr:sp macro="" textlink="">
      <xdr:nvSpPr>
        <xdr:cNvPr id="5" name="Rectangle 4"/>
        <xdr:cNvSpPr/>
      </xdr:nvSpPr>
      <xdr:spPr>
        <a:xfrm>
          <a:off x="6121066" y="11419974"/>
          <a:ext cx="1764632" cy="17947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Note: The SIGN of</a:t>
          </a:r>
          <a:r>
            <a:rPr lang="en-US" sz="1100" baseline="0"/>
            <a:t> the answer matters. A negative sign indicates a cash flow in the opposite direction of the given future cash flows, and a positive sign indicates cash flows in the same direction as the given future cash flows.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22</xdr:row>
      <xdr:rowOff>152400</xdr:rowOff>
    </xdr:to>
    <xdr:sp macro="" textlink="">
      <xdr:nvSpPr>
        <xdr:cNvPr id="2" name="TextBox 1"/>
        <xdr:cNvSpPr txBox="1"/>
      </xdr:nvSpPr>
      <xdr:spPr>
        <a:xfrm>
          <a:off x="228599" y="180974"/>
          <a:ext cx="5857876" cy="4162426"/>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2013 pro forma income statement and balance sheet for the firm whose 2011 and 2012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cost of goods sold in 2013 is expected to change with sales by 105% of the two-year arithmetic average of the proportion of this item in relation to sales</a:t>
          </a:r>
          <a:r>
            <a:rPr lang="en-US" sz="1100" b="1" baseline="0">
              <a:solidFill>
                <a:schemeClr val="dk1"/>
              </a:solidFill>
              <a:effectLst/>
              <a:latin typeface="+mn-lt"/>
              <a:ea typeface="+mn-ea"/>
              <a:cs typeface="+mn-cs"/>
            </a:rPr>
            <a:t> for 2011 and 2012.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2011 and 2012</a:t>
          </a:r>
          <a:r>
            <a:rPr lang="en-US" sz="1100" b="1">
              <a:solidFill>
                <a:schemeClr val="dk1"/>
              </a:solidFill>
              <a:effectLst/>
              <a:latin typeface="+mn-lt"/>
              <a:ea typeface="+mn-ea"/>
              <a:cs typeface="+mn-cs"/>
            </a:rPr>
            <a:t>.  The firm has planned an investment of $300,000 in new equipment </a:t>
          </a:r>
          <a:r>
            <a:rPr lang="en-US" sz="1100" b="1" baseline="0">
              <a:solidFill>
                <a:schemeClr val="dk1"/>
              </a:solidFill>
              <a:effectLst/>
              <a:latin typeface="+mn-lt"/>
              <a:ea typeface="+mn-ea"/>
              <a:cs typeface="+mn-cs"/>
            </a:rPr>
            <a:t>in 2013.  This equipment will be depreciated at $45,000 per year. Depreciation on existing Plant/Equipment will be the same as it was in 2012.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2013 is computed on the 2012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2013 using the information above, the inputs below, and the values that are given in the statements. The 2013 projected statements should accurately adjust for any changes in the inputs. </a:t>
          </a: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Compute the excess or deficit of financing for 2013 in the yellow box at the bottom of the Balance Sheet.  This number should be positive if the firm will have more financing than is needed, and it should be negative if the firm has less financing than is needed. </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zoomScale="160" zoomScaleNormal="160" workbookViewId="0"/>
  </sheetViews>
  <sheetFormatPr defaultRowHeight="15" x14ac:dyDescent="0.25"/>
  <cols>
    <col min="1" max="1" width="3.140625" style="107" customWidth="1"/>
    <col min="2" max="2" width="4.5703125" style="107" customWidth="1"/>
    <col min="3" max="16384" width="9.140625" style="107"/>
  </cols>
  <sheetData>
    <row r="2" spans="2:2" ht="18.75" x14ac:dyDescent="0.3">
      <c r="B2" s="86" t="s">
        <v>200</v>
      </c>
    </row>
    <row r="3" spans="2:2" ht="18.75" x14ac:dyDescent="0.3">
      <c r="B3" s="86" t="s">
        <v>201</v>
      </c>
    </row>
    <row r="4" spans="2:2" ht="18.75" x14ac:dyDescent="0.3">
      <c r="B4" s="86" t="s">
        <v>202</v>
      </c>
    </row>
    <row r="5" spans="2:2" ht="12" customHeight="1" x14ac:dyDescent="0.3">
      <c r="B5" s="86"/>
    </row>
    <row r="6" spans="2:2" ht="18.75" x14ac:dyDescent="0.3">
      <c r="B6" s="86" t="s">
        <v>53</v>
      </c>
    </row>
    <row r="7" spans="2:2" ht="18.75" x14ac:dyDescent="0.3">
      <c r="B7" s="86" t="s">
        <v>203</v>
      </c>
    </row>
    <row r="8" spans="2:2" ht="6.75" customHeight="1" x14ac:dyDescent="0.3">
      <c r="B8" s="86"/>
    </row>
    <row r="9" spans="2:2" ht="18.75" x14ac:dyDescent="0.3">
      <c r="B9" s="86" t="s">
        <v>204</v>
      </c>
    </row>
    <row r="10" spans="2:2" ht="18.75" x14ac:dyDescent="0.3">
      <c r="B10" s="86" t="s">
        <v>205</v>
      </c>
    </row>
    <row r="11" spans="2:2" ht="18.75" x14ac:dyDescent="0.3">
      <c r="B11" s="86" t="s">
        <v>206</v>
      </c>
    </row>
    <row r="12" spans="2:2" ht="13.5" customHeight="1" x14ac:dyDescent="0.3">
      <c r="B12" s="86"/>
    </row>
    <row r="13" spans="2:2" x14ac:dyDescent="0.25">
      <c r="B13" s="107" t="s">
        <v>107</v>
      </c>
    </row>
    <row r="14" spans="2:2" ht="9" customHeight="1" x14ac:dyDescent="0.3">
      <c r="B14" s="86"/>
    </row>
    <row r="15" spans="2:2" x14ac:dyDescent="0.25">
      <c r="B15" s="107" t="s">
        <v>54</v>
      </c>
    </row>
    <row r="16" spans="2:2" ht="6.75" customHeight="1" x14ac:dyDescent="0.25"/>
    <row r="17" spans="2:3" x14ac:dyDescent="0.25">
      <c r="B17" s="107" t="s">
        <v>207</v>
      </c>
    </row>
    <row r="18" spans="2:3" ht="6.75" customHeight="1" x14ac:dyDescent="0.25"/>
    <row r="19" spans="2:3" x14ac:dyDescent="0.25">
      <c r="B19" s="107" t="s">
        <v>208</v>
      </c>
    </row>
    <row r="20" spans="2:3" x14ac:dyDescent="0.25">
      <c r="B20" s="107" t="s">
        <v>209</v>
      </c>
    </row>
    <row r="21" spans="2:3" x14ac:dyDescent="0.25">
      <c r="B21" s="107" t="s">
        <v>210</v>
      </c>
    </row>
    <row r="23" spans="2:3" ht="18.75" x14ac:dyDescent="0.3">
      <c r="B23" s="86" t="s">
        <v>71</v>
      </c>
    </row>
    <row r="24" spans="2:3" ht="5.25" customHeight="1" x14ac:dyDescent="0.25"/>
    <row r="25" spans="2:3" ht="5.25" customHeight="1" x14ac:dyDescent="0.25"/>
    <row r="26" spans="2:3" ht="21" customHeight="1" x14ac:dyDescent="0.3">
      <c r="C26" s="86" t="s">
        <v>72</v>
      </c>
    </row>
    <row r="27" spans="2:3" ht="21" customHeight="1" x14ac:dyDescent="0.3">
      <c r="C27" s="86" t="s">
        <v>211</v>
      </c>
    </row>
    <row r="28" spans="2:3" ht="21" customHeight="1" x14ac:dyDescent="0.3">
      <c r="C28" s="86" t="s">
        <v>212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opLeftCell="A25" zoomScale="145" zoomScaleNormal="145" workbookViewId="0"/>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59</v>
      </c>
    </row>
    <row r="21" spans="3:19" ht="15.75" thickBot="1" x14ac:dyDescent="0.3">
      <c r="C21" s="6" t="s">
        <v>8</v>
      </c>
      <c r="F21" s="2">
        <v>325000</v>
      </c>
      <c r="G21" t="s">
        <v>84</v>
      </c>
      <c r="N21" t="s">
        <v>75</v>
      </c>
      <c r="O21">
        <f>IF(F25="Annual",1,IF(F25="Quarterly",4,12))</f>
        <v>4</v>
      </c>
      <c r="P21">
        <v>1</v>
      </c>
    </row>
    <row r="22" spans="3:19" ht="15.75" thickBot="1" x14ac:dyDescent="0.3">
      <c r="C22" s="38" t="s">
        <v>78</v>
      </c>
      <c r="F22" s="46">
        <v>4</v>
      </c>
      <c r="G22" t="s">
        <v>87</v>
      </c>
      <c r="H22" s="5">
        <f>D31*Term*Periods+F24-F21</f>
        <v>48599.460815542086</v>
      </c>
      <c r="N22" t="s">
        <v>76</v>
      </c>
      <c r="P22">
        <v>2</v>
      </c>
    </row>
    <row r="23" spans="3:19" x14ac:dyDescent="0.25">
      <c r="C23" s="6" t="s">
        <v>9</v>
      </c>
      <c r="F23" s="3">
        <v>5.8999999999999997E-2</v>
      </c>
      <c r="N23" t="s">
        <v>77</v>
      </c>
      <c r="P23">
        <v>3</v>
      </c>
    </row>
    <row r="24" spans="3:19" ht="15.75" thickBot="1" x14ac:dyDescent="0.3">
      <c r="C24" s="6" t="s">
        <v>10</v>
      </c>
      <c r="F24" s="2">
        <v>60000</v>
      </c>
      <c r="G24" t="s">
        <v>85</v>
      </c>
      <c r="P24">
        <v>4</v>
      </c>
    </row>
    <row r="25" spans="3:19" ht="15.75" thickBot="1" x14ac:dyDescent="0.3">
      <c r="C25" s="38" t="s">
        <v>58</v>
      </c>
      <c r="F25" t="s">
        <v>76</v>
      </c>
      <c r="G25" t="s">
        <v>86</v>
      </c>
      <c r="H25" s="51">
        <f>EFFECT(Rate,Periods)</f>
        <v>6.0318258520941637E-2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7">
        <f>F21</f>
        <v>325000</v>
      </c>
    </row>
    <row r="31" spans="3:19" x14ac:dyDescent="0.25">
      <c r="C31" s="12">
        <v>1</v>
      </c>
      <c r="D31" s="14">
        <f>PMT(Rate/Periods,Term*Periods,-F21,F24)</f>
        <v>19599.96630097138</v>
      </c>
      <c r="E31" s="13">
        <f t="shared" ref="E31:E62" si="0">IF(C31&gt;Term*Periods,"",G30*Rate/Periods)</f>
        <v>4793.75</v>
      </c>
      <c r="F31" s="14">
        <f t="shared" ref="F31:F62" si="1">IF(C31&gt;Term*Periods,"",D31-E31)</f>
        <v>14806.21630097138</v>
      </c>
      <c r="G31" s="13">
        <f t="shared" ref="G31:G62" si="2">IF(C31&gt;Term*Periods,"",G30-F31)</f>
        <v>310193.7836990286</v>
      </c>
      <c r="K31" t="s">
        <v>15</v>
      </c>
    </row>
    <row r="32" spans="3:19" x14ac:dyDescent="0.25">
      <c r="C32" s="12">
        <v>2</v>
      </c>
      <c r="D32" s="14">
        <f t="shared" ref="D32:D63" si="3">IF(C32&gt;Term*Periods,"",IF(C32=Term*Periods,$D$31+$F$24,$D$31))</f>
        <v>19599.96630097138</v>
      </c>
      <c r="E32" s="13">
        <f t="shared" si="0"/>
        <v>4575.3583095606718</v>
      </c>
      <c r="F32" s="14">
        <f t="shared" si="1"/>
        <v>15024.607991410709</v>
      </c>
      <c r="G32" s="13">
        <f t="shared" si="2"/>
        <v>295169.17570761789</v>
      </c>
    </row>
    <row r="33" spans="3:7" x14ac:dyDescent="0.25">
      <c r="C33" s="12">
        <v>3</v>
      </c>
      <c r="D33" s="14">
        <f t="shared" si="3"/>
        <v>19599.96630097138</v>
      </c>
      <c r="E33" s="13">
        <f t="shared" si="0"/>
        <v>4353.7453416873641</v>
      </c>
      <c r="F33" s="14">
        <f t="shared" si="1"/>
        <v>15246.220959284015</v>
      </c>
      <c r="G33" s="13">
        <f t="shared" si="2"/>
        <v>279922.9547483339</v>
      </c>
    </row>
    <row r="34" spans="3:7" x14ac:dyDescent="0.25">
      <c r="C34" s="12">
        <v>4</v>
      </c>
      <c r="D34" s="14">
        <f t="shared" si="3"/>
        <v>19599.96630097138</v>
      </c>
      <c r="E34" s="13">
        <f t="shared" si="0"/>
        <v>4128.8635825379251</v>
      </c>
      <c r="F34" s="14">
        <f t="shared" si="1"/>
        <v>15471.102718433456</v>
      </c>
      <c r="G34" s="13">
        <f t="shared" si="2"/>
        <v>264451.85202990042</v>
      </c>
    </row>
    <row r="35" spans="3:7" x14ac:dyDescent="0.25">
      <c r="C35" s="12">
        <v>5</v>
      </c>
      <c r="D35" s="14">
        <f t="shared" si="3"/>
        <v>19599.96630097138</v>
      </c>
      <c r="E35" s="13">
        <f t="shared" si="0"/>
        <v>3900.6648174410311</v>
      </c>
      <c r="F35" s="14">
        <f t="shared" si="1"/>
        <v>15699.301483530349</v>
      </c>
      <c r="G35" s="13">
        <f t="shared" si="2"/>
        <v>248752.55054637007</v>
      </c>
    </row>
    <row r="36" spans="3:7" x14ac:dyDescent="0.25">
      <c r="C36" s="12">
        <v>6</v>
      </c>
      <c r="D36" s="14">
        <f t="shared" si="3"/>
        <v>19599.96630097138</v>
      </c>
      <c r="E36" s="13">
        <f t="shared" si="0"/>
        <v>3669.1001205589582</v>
      </c>
      <c r="F36" s="14">
        <f t="shared" si="1"/>
        <v>15930.866180412422</v>
      </c>
      <c r="G36" s="13">
        <f t="shared" si="2"/>
        <v>232821.68436595766</v>
      </c>
    </row>
    <row r="37" spans="3:7" x14ac:dyDescent="0.25">
      <c r="C37" s="12">
        <v>7</v>
      </c>
      <c r="D37" s="14">
        <f t="shared" si="3"/>
        <v>19599.96630097138</v>
      </c>
      <c r="E37" s="13">
        <f t="shared" si="0"/>
        <v>3434.1198443978751</v>
      </c>
      <c r="F37" s="14">
        <f t="shared" si="1"/>
        <v>16165.846456573505</v>
      </c>
      <c r="G37" s="13">
        <f t="shared" si="2"/>
        <v>216655.83790938416</v>
      </c>
    </row>
    <row r="38" spans="3:7" x14ac:dyDescent="0.25">
      <c r="C38" s="12">
        <v>8</v>
      </c>
      <c r="D38" s="14">
        <f t="shared" si="3"/>
        <v>19599.96630097138</v>
      </c>
      <c r="E38" s="13">
        <f t="shared" si="0"/>
        <v>3195.6736091634161</v>
      </c>
      <c r="F38" s="14">
        <f t="shared" si="1"/>
        <v>16404.292691807965</v>
      </c>
      <c r="G38" s="13">
        <f t="shared" si="2"/>
        <v>200251.5452175762</v>
      </c>
    </row>
    <row r="39" spans="3:7" x14ac:dyDescent="0.25">
      <c r="C39" s="12">
        <v>9</v>
      </c>
      <c r="D39" s="14">
        <f t="shared" si="3"/>
        <v>19599.96630097138</v>
      </c>
      <c r="E39" s="13">
        <f t="shared" si="0"/>
        <v>2953.7102919592489</v>
      </c>
      <c r="F39" s="14">
        <f t="shared" si="1"/>
        <v>16646.256009012133</v>
      </c>
      <c r="G39" s="13">
        <f t="shared" si="2"/>
        <v>183605.28920856406</v>
      </c>
    </row>
    <row r="40" spans="3:7" x14ac:dyDescent="0.25">
      <c r="C40" s="12">
        <v>10</v>
      </c>
      <c r="D40" s="14">
        <f t="shared" si="3"/>
        <v>19599.96630097138</v>
      </c>
      <c r="E40" s="13">
        <f t="shared" si="0"/>
        <v>2708.17801582632</v>
      </c>
      <c r="F40" s="14">
        <f t="shared" si="1"/>
        <v>16891.788285145059</v>
      </c>
      <c r="G40" s="13">
        <f t="shared" si="2"/>
        <v>166713.50092341899</v>
      </c>
    </row>
    <row r="41" spans="3:7" x14ac:dyDescent="0.25">
      <c r="C41" s="12">
        <v>11</v>
      </c>
      <c r="D41" s="14">
        <f t="shared" si="3"/>
        <v>19599.96630097138</v>
      </c>
      <c r="E41" s="13">
        <f t="shared" si="0"/>
        <v>2459.0241386204302</v>
      </c>
      <c r="F41" s="14">
        <f t="shared" si="1"/>
        <v>17140.942162350952</v>
      </c>
      <c r="G41" s="13">
        <f t="shared" si="2"/>
        <v>149572.55876106804</v>
      </c>
    </row>
    <row r="42" spans="3:7" x14ac:dyDescent="0.25">
      <c r="C42" s="12">
        <v>12</v>
      </c>
      <c r="D42" s="14">
        <f t="shared" si="3"/>
        <v>19599.96630097138</v>
      </c>
      <c r="E42" s="13">
        <f t="shared" si="0"/>
        <v>2206.1952417257535</v>
      </c>
      <c r="F42" s="14">
        <f t="shared" si="1"/>
        <v>17393.771059245628</v>
      </c>
      <c r="G42" s="13">
        <f t="shared" si="2"/>
        <v>132178.78770182241</v>
      </c>
    </row>
    <row r="43" spans="3:7" x14ac:dyDescent="0.25">
      <c r="C43" s="12">
        <v>13</v>
      </c>
      <c r="D43" s="14">
        <f t="shared" si="3"/>
        <v>19599.96630097138</v>
      </c>
      <c r="E43" s="13">
        <f t="shared" si="0"/>
        <v>1949.6371186018805</v>
      </c>
      <c r="F43" s="14">
        <f t="shared" si="1"/>
        <v>17650.3291823695</v>
      </c>
      <c r="G43" s="13">
        <f t="shared" si="2"/>
        <v>114528.45851945291</v>
      </c>
    </row>
    <row r="44" spans="3:7" x14ac:dyDescent="0.25">
      <c r="C44" s="12">
        <v>14</v>
      </c>
      <c r="D44" s="14">
        <f t="shared" si="3"/>
        <v>19599.96630097138</v>
      </c>
      <c r="E44" s="13">
        <f t="shared" si="0"/>
        <v>1689.2947631619302</v>
      </c>
      <c r="F44" s="14">
        <f t="shared" si="1"/>
        <v>17910.671537809449</v>
      </c>
      <c r="G44" s="13">
        <f t="shared" si="2"/>
        <v>96617.786981643454</v>
      </c>
    </row>
    <row r="45" spans="3:7" x14ac:dyDescent="0.25">
      <c r="C45" s="12">
        <v>15</v>
      </c>
      <c r="D45" s="14">
        <f t="shared" si="3"/>
        <v>19599.96630097138</v>
      </c>
      <c r="E45" s="13">
        <f t="shared" si="0"/>
        <v>1425.1123579792409</v>
      </c>
      <c r="F45" s="14">
        <f t="shared" si="1"/>
        <v>18174.85394299214</v>
      </c>
      <c r="G45" s="13">
        <f t="shared" si="2"/>
        <v>78442.933038651317</v>
      </c>
    </row>
    <row r="46" spans="3:7" x14ac:dyDescent="0.25">
      <c r="C46" s="12">
        <v>16</v>
      </c>
      <c r="D46" s="14">
        <f t="shared" si="3"/>
        <v>79599.966300971384</v>
      </c>
      <c r="E46" s="13">
        <f t="shared" si="0"/>
        <v>1157.0332623201068</v>
      </c>
      <c r="F46" s="14">
        <f t="shared" si="1"/>
        <v>78442.933038651274</v>
      </c>
      <c r="G46" s="13">
        <f t="shared" si="2"/>
        <v>4.3655745685100555E-11</v>
      </c>
    </row>
    <row r="47" spans="3:7" x14ac:dyDescent="0.25">
      <c r="C47" s="12">
        <v>17</v>
      </c>
      <c r="D47" s="14" t="str">
        <f t="shared" si="3"/>
        <v/>
      </c>
      <c r="E47" s="13" t="str">
        <f t="shared" si="0"/>
        <v/>
      </c>
      <c r="F47" s="14" t="str">
        <f t="shared" si="1"/>
        <v/>
      </c>
      <c r="G47" s="13" t="str">
        <f t="shared" si="2"/>
        <v/>
      </c>
    </row>
    <row r="48" spans="3:7" x14ac:dyDescent="0.25">
      <c r="C48" s="12">
        <v>18</v>
      </c>
      <c r="D48" s="14" t="str">
        <f t="shared" si="3"/>
        <v/>
      </c>
      <c r="E48" s="13" t="str">
        <f t="shared" si="0"/>
        <v/>
      </c>
      <c r="F48" s="14" t="str">
        <f t="shared" si="1"/>
        <v/>
      </c>
      <c r="G48" s="13" t="str">
        <f t="shared" si="2"/>
        <v/>
      </c>
    </row>
    <row r="49" spans="3:7" x14ac:dyDescent="0.25">
      <c r="C49" s="12">
        <v>19</v>
      </c>
      <c r="D49" s="14" t="str">
        <f t="shared" si="3"/>
        <v/>
      </c>
      <c r="E49" s="13" t="str">
        <f t="shared" si="0"/>
        <v/>
      </c>
      <c r="F49" s="14" t="str">
        <f t="shared" si="1"/>
        <v/>
      </c>
      <c r="G49" s="13" t="str">
        <f t="shared" si="2"/>
        <v/>
      </c>
    </row>
    <row r="50" spans="3:7" x14ac:dyDescent="0.25">
      <c r="C50" s="12">
        <v>20</v>
      </c>
      <c r="D50" s="14" t="str">
        <f t="shared" si="3"/>
        <v/>
      </c>
      <c r="E50" s="13" t="str">
        <f t="shared" si="0"/>
        <v/>
      </c>
      <c r="F50" s="14" t="str">
        <f t="shared" si="1"/>
        <v/>
      </c>
      <c r="G50" s="13" t="str">
        <f t="shared" si="2"/>
        <v/>
      </c>
    </row>
    <row r="51" spans="3:7" x14ac:dyDescent="0.25">
      <c r="C51" s="12">
        <v>21</v>
      </c>
      <c r="D51" s="14" t="str">
        <f t="shared" si="3"/>
        <v/>
      </c>
      <c r="E51" s="13" t="str">
        <f t="shared" si="0"/>
        <v/>
      </c>
      <c r="F51" s="14" t="str">
        <f t="shared" si="1"/>
        <v/>
      </c>
      <c r="G51" s="13" t="str">
        <f t="shared" si="2"/>
        <v/>
      </c>
    </row>
    <row r="52" spans="3:7" x14ac:dyDescent="0.25">
      <c r="C52" s="12">
        <v>22</v>
      </c>
      <c r="D52" s="14" t="str">
        <f t="shared" si="3"/>
        <v/>
      </c>
      <c r="E52" s="13" t="str">
        <f t="shared" si="0"/>
        <v/>
      </c>
      <c r="F52" s="14" t="str">
        <f t="shared" si="1"/>
        <v/>
      </c>
      <c r="G52" s="13" t="str">
        <f t="shared" si="2"/>
        <v/>
      </c>
    </row>
    <row r="53" spans="3:7" x14ac:dyDescent="0.25">
      <c r="C53" s="12">
        <v>23</v>
      </c>
      <c r="D53" s="14" t="str">
        <f t="shared" si="3"/>
        <v/>
      </c>
      <c r="E53" s="13" t="str">
        <f t="shared" si="0"/>
        <v/>
      </c>
      <c r="F53" s="14" t="str">
        <f t="shared" si="1"/>
        <v/>
      </c>
      <c r="G53" s="13" t="str">
        <f t="shared" si="2"/>
        <v/>
      </c>
    </row>
    <row r="54" spans="3:7" x14ac:dyDescent="0.25">
      <c r="C54" s="12">
        <v>24</v>
      </c>
      <c r="D54" s="14" t="str">
        <f t="shared" si="3"/>
        <v/>
      </c>
      <c r="E54" s="13" t="str">
        <f t="shared" si="0"/>
        <v/>
      </c>
      <c r="F54" s="14" t="str">
        <f t="shared" si="1"/>
        <v/>
      </c>
      <c r="G54" s="13" t="str">
        <f t="shared" si="2"/>
        <v/>
      </c>
    </row>
    <row r="55" spans="3:7" x14ac:dyDescent="0.25">
      <c r="C55" s="12">
        <v>25</v>
      </c>
      <c r="D55" s="14" t="str">
        <f t="shared" si="3"/>
        <v/>
      </c>
      <c r="E55" s="13" t="str">
        <f t="shared" si="0"/>
        <v/>
      </c>
      <c r="F55" s="14" t="str">
        <f t="shared" si="1"/>
        <v/>
      </c>
      <c r="G55" s="13" t="str">
        <f t="shared" si="2"/>
        <v/>
      </c>
    </row>
    <row r="56" spans="3:7" x14ac:dyDescent="0.25">
      <c r="C56" s="12">
        <v>26</v>
      </c>
      <c r="D56" s="14" t="str">
        <f t="shared" si="3"/>
        <v/>
      </c>
      <c r="E56" s="13" t="str">
        <f t="shared" si="0"/>
        <v/>
      </c>
      <c r="F56" s="14" t="str">
        <f t="shared" si="1"/>
        <v/>
      </c>
      <c r="G56" s="13" t="str">
        <f t="shared" si="2"/>
        <v/>
      </c>
    </row>
    <row r="57" spans="3:7" x14ac:dyDescent="0.25">
      <c r="C57" s="12">
        <v>27</v>
      </c>
      <c r="D57" s="14" t="str">
        <f t="shared" si="3"/>
        <v/>
      </c>
      <c r="E57" s="13" t="str">
        <f t="shared" si="0"/>
        <v/>
      </c>
      <c r="F57" s="14" t="str">
        <f t="shared" si="1"/>
        <v/>
      </c>
      <c r="G57" s="13" t="str">
        <f t="shared" si="2"/>
        <v/>
      </c>
    </row>
    <row r="58" spans="3:7" x14ac:dyDescent="0.25">
      <c r="C58" s="12">
        <v>28</v>
      </c>
      <c r="D58" s="14" t="str">
        <f t="shared" si="3"/>
        <v/>
      </c>
      <c r="E58" s="13" t="str">
        <f t="shared" si="0"/>
        <v/>
      </c>
      <c r="F58" s="14" t="str">
        <f t="shared" si="1"/>
        <v/>
      </c>
      <c r="G58" s="13" t="str">
        <f t="shared" si="2"/>
        <v/>
      </c>
    </row>
    <row r="59" spans="3:7" x14ac:dyDescent="0.25">
      <c r="C59" s="12">
        <v>29</v>
      </c>
      <c r="D59" s="14" t="str">
        <f t="shared" si="3"/>
        <v/>
      </c>
      <c r="E59" s="13" t="str">
        <f t="shared" si="0"/>
        <v/>
      </c>
      <c r="F59" s="14" t="str">
        <f t="shared" si="1"/>
        <v/>
      </c>
      <c r="G59" s="13" t="str">
        <f t="shared" si="2"/>
        <v/>
      </c>
    </row>
    <row r="60" spans="3:7" x14ac:dyDescent="0.25">
      <c r="C60" s="12">
        <v>30</v>
      </c>
      <c r="D60" s="14" t="str">
        <f t="shared" si="3"/>
        <v/>
      </c>
      <c r="E60" s="13" t="str">
        <f t="shared" si="0"/>
        <v/>
      </c>
      <c r="F60" s="14" t="str">
        <f t="shared" si="1"/>
        <v/>
      </c>
      <c r="G60" s="13" t="str">
        <f t="shared" si="2"/>
        <v/>
      </c>
    </row>
    <row r="61" spans="3:7" x14ac:dyDescent="0.25">
      <c r="C61" s="12">
        <v>31</v>
      </c>
      <c r="D61" s="14" t="str">
        <f t="shared" si="3"/>
        <v/>
      </c>
      <c r="E61" s="13" t="str">
        <f t="shared" si="0"/>
        <v/>
      </c>
      <c r="F61" s="14" t="str">
        <f t="shared" si="1"/>
        <v/>
      </c>
      <c r="G61" s="13" t="str">
        <f t="shared" si="2"/>
        <v/>
      </c>
    </row>
    <row r="62" spans="3:7" x14ac:dyDescent="0.25">
      <c r="C62" s="12">
        <v>32</v>
      </c>
      <c r="D62" s="14" t="str">
        <f t="shared" si="3"/>
        <v/>
      </c>
      <c r="E62" s="13" t="str">
        <f t="shared" si="0"/>
        <v/>
      </c>
      <c r="F62" s="14" t="str">
        <f t="shared" si="1"/>
        <v/>
      </c>
      <c r="G62" s="13" t="str">
        <f t="shared" si="2"/>
        <v/>
      </c>
    </row>
    <row r="63" spans="3:7" x14ac:dyDescent="0.25">
      <c r="C63" s="12">
        <v>33</v>
      </c>
      <c r="D63" s="14" t="str">
        <f t="shared" si="3"/>
        <v/>
      </c>
      <c r="E63" s="13" t="str">
        <f t="shared" ref="E63:E90" si="4">IF(C63&gt;Term*Periods,"",G62*Rate/Periods)</f>
        <v/>
      </c>
      <c r="F63" s="14" t="str">
        <f t="shared" ref="F63:F90" si="5">IF(C63&gt;Term*Periods,"",D63-E63)</f>
        <v/>
      </c>
      <c r="G63" s="13" t="str">
        <f t="shared" ref="G63:G90" si="6">IF(C63&gt;Term*Periods,"",G62-F63)</f>
        <v/>
      </c>
    </row>
    <row r="64" spans="3:7" x14ac:dyDescent="0.25">
      <c r="C64" s="12">
        <v>34</v>
      </c>
      <c r="D64" s="14" t="str">
        <f t="shared" ref="D64:D90" si="7">IF(C64&gt;Term*Periods,"",IF(C64=Term*Periods,$D$31+$F$24,$D$31))</f>
        <v/>
      </c>
      <c r="E64" s="13" t="str">
        <f t="shared" si="4"/>
        <v/>
      </c>
      <c r="F64" s="14" t="str">
        <f t="shared" si="5"/>
        <v/>
      </c>
      <c r="G64" s="13" t="str">
        <f t="shared" si="6"/>
        <v/>
      </c>
    </row>
    <row r="65" spans="3:7" x14ac:dyDescent="0.25">
      <c r="C65" s="12">
        <v>35</v>
      </c>
      <c r="D65" s="14" t="str">
        <f t="shared" si="7"/>
        <v/>
      </c>
      <c r="E65" s="13" t="str">
        <f t="shared" si="4"/>
        <v/>
      </c>
      <c r="F65" s="14" t="str">
        <f t="shared" si="5"/>
        <v/>
      </c>
      <c r="G65" s="13" t="str">
        <f t="shared" si="6"/>
        <v/>
      </c>
    </row>
    <row r="66" spans="3:7" x14ac:dyDescent="0.25">
      <c r="C66" s="12">
        <v>36</v>
      </c>
      <c r="D66" s="14" t="str">
        <f t="shared" si="7"/>
        <v/>
      </c>
      <c r="E66" s="13" t="str">
        <f t="shared" si="4"/>
        <v/>
      </c>
      <c r="F66" s="14" t="str">
        <f t="shared" si="5"/>
        <v/>
      </c>
      <c r="G66" s="13" t="str">
        <f t="shared" si="6"/>
        <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0.05</formula1>
      <formula2>0.15</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topLeftCell="A10" zoomScale="190" zoomScaleNormal="190" workbookViewId="0">
      <selection activeCell="A13" sqref="A13"/>
    </sheetView>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32" style="43" customWidth="1"/>
    <col min="7" max="7" width="16" style="43" customWidth="1"/>
    <col min="8" max="16384" width="8.7109375" style="43"/>
  </cols>
  <sheetData>
    <row r="18" spans="2:7" ht="15.75" thickBot="1" x14ac:dyDescent="0.3">
      <c r="B18" s="43" t="s">
        <v>60</v>
      </c>
      <c r="C18" s="44">
        <v>225000</v>
      </c>
      <c r="E18" s="43" t="s">
        <v>80</v>
      </c>
    </row>
    <row r="19" spans="2:7" ht="15.75" thickBot="1" x14ac:dyDescent="0.3">
      <c r="B19" s="43" t="s">
        <v>61</v>
      </c>
      <c r="C19" s="41">
        <v>8</v>
      </c>
      <c r="E19" s="43" t="s">
        <v>81</v>
      </c>
      <c r="G19" s="49">
        <f>PMT(C20/12,C19*12,-C18)</f>
        <v>3414.1869220059748</v>
      </c>
    </row>
    <row r="20" spans="2:7" x14ac:dyDescent="0.25">
      <c r="B20" s="43" t="s">
        <v>16</v>
      </c>
      <c r="C20" s="52">
        <v>0.1</v>
      </c>
    </row>
    <row r="21" spans="2:7" x14ac:dyDescent="0.25">
      <c r="B21" s="43" t="s">
        <v>62</v>
      </c>
      <c r="C21" s="44">
        <v>1000</v>
      </c>
      <c r="E21" s="43" t="s">
        <v>79</v>
      </c>
    </row>
    <row r="22" spans="2:7" ht="15.75" thickBot="1" x14ac:dyDescent="0.3">
      <c r="E22" s="43" t="s">
        <v>63</v>
      </c>
    </row>
    <row r="23" spans="2:7" ht="15.75" thickBot="1" x14ac:dyDescent="0.3">
      <c r="E23" s="43" t="s">
        <v>82</v>
      </c>
      <c r="G23" s="87">
        <f>NPER(C20/12,G19+C21,-C18)</f>
        <v>66.633675540844521</v>
      </c>
    </row>
    <row r="25" spans="2:7" x14ac:dyDescent="0.25">
      <c r="E25" s="43" t="s">
        <v>64</v>
      </c>
    </row>
    <row r="26" spans="2:7" x14ac:dyDescent="0.25">
      <c r="E26" s="43" t="s">
        <v>65</v>
      </c>
    </row>
    <row r="27" spans="2:7" x14ac:dyDescent="0.25">
      <c r="E27" s="43" t="s">
        <v>66</v>
      </c>
    </row>
    <row r="28" spans="2:7" x14ac:dyDescent="0.25">
      <c r="E28" s="43" t="s">
        <v>67</v>
      </c>
    </row>
    <row r="29" spans="2:7" x14ac:dyDescent="0.25">
      <c r="E29" s="43" t="s">
        <v>68</v>
      </c>
    </row>
    <row r="30" spans="2:7" ht="15.75" thickBot="1" x14ac:dyDescent="0.3">
      <c r="E30" s="43" t="s">
        <v>69</v>
      </c>
    </row>
    <row r="31" spans="2:7" ht="15.75" thickBot="1" x14ac:dyDescent="0.3">
      <c r="E31" s="43" t="s">
        <v>70</v>
      </c>
      <c r="G31" s="5">
        <f>(G19*C19*12)-(G23*(G19+C21))</f>
        <v>33628.445374988311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topLeftCell="C20" zoomScale="130" zoomScaleNormal="130" workbookViewId="0">
      <selection activeCell="I27" sqref="I27"/>
    </sheetView>
  </sheetViews>
  <sheetFormatPr defaultRowHeight="15" x14ac:dyDescent="0.25"/>
  <cols>
    <col min="1" max="1" width="4.28515625" style="107" customWidth="1"/>
    <col min="2" max="5" width="9.140625" style="107"/>
    <col min="6" max="6" width="13.28515625" style="107" bestFit="1" customWidth="1"/>
    <col min="7" max="7" width="12" style="107" customWidth="1"/>
    <col min="8" max="8" width="12.140625" style="107" customWidth="1"/>
    <col min="9" max="9" width="14.140625" style="107" customWidth="1"/>
    <col min="10" max="16384" width="9.140625" style="107"/>
  </cols>
  <sheetData>
    <row r="2" spans="2:11" x14ac:dyDescent="0.25">
      <c r="B2" s="99" t="s">
        <v>146</v>
      </c>
    </row>
    <row r="4" spans="2:11" x14ac:dyDescent="0.25">
      <c r="B4" s="99" t="s">
        <v>59</v>
      </c>
    </row>
    <row r="5" spans="2:11" s="99" customFormat="1" x14ac:dyDescent="0.25">
      <c r="B5" s="7" t="s">
        <v>8</v>
      </c>
      <c r="F5" s="109">
        <v>300000</v>
      </c>
    </row>
    <row r="6" spans="2:11" s="99" customFormat="1" x14ac:dyDescent="0.25">
      <c r="B6" s="7" t="s">
        <v>147</v>
      </c>
      <c r="F6" s="110">
        <v>3</v>
      </c>
    </row>
    <row r="7" spans="2:11" s="99" customFormat="1" x14ac:dyDescent="0.25">
      <c r="B7" s="7" t="s">
        <v>9</v>
      </c>
      <c r="F7" s="111">
        <v>7.4999999999999997E-2</v>
      </c>
    </row>
    <row r="8" spans="2:11" s="99" customFormat="1" x14ac:dyDescent="0.25">
      <c r="B8" s="7"/>
      <c r="F8" s="112"/>
    </row>
    <row r="9" spans="2:11" s="99" customFormat="1" x14ac:dyDescent="0.25">
      <c r="B9" s="7" t="s">
        <v>131</v>
      </c>
      <c r="F9" s="115">
        <v>14</v>
      </c>
    </row>
    <row r="10" spans="2:11" s="99" customFormat="1" x14ac:dyDescent="0.25">
      <c r="B10" s="7"/>
    </row>
    <row r="11" spans="2:11" x14ac:dyDescent="0.25">
      <c r="B11" s="113" t="s">
        <v>132</v>
      </c>
    </row>
    <row r="12" spans="2:11" x14ac:dyDescent="0.25">
      <c r="B12" s="113" t="s">
        <v>133</v>
      </c>
    </row>
    <row r="13" spans="2:11" x14ac:dyDescent="0.25">
      <c r="B13" s="113" t="s">
        <v>134</v>
      </c>
    </row>
    <row r="14" spans="2:11" x14ac:dyDescent="0.25">
      <c r="B14" s="113" t="s">
        <v>135</v>
      </c>
    </row>
    <row r="15" spans="2:11" ht="15.75" thickBot="1" x14ac:dyDescent="0.3"/>
    <row r="16" spans="2:11" ht="15.75" thickBot="1" x14ac:dyDescent="0.3">
      <c r="B16" s="132" t="s">
        <v>136</v>
      </c>
      <c r="C16" s="132"/>
      <c r="D16" s="132"/>
      <c r="E16" s="132"/>
      <c r="F16" s="132"/>
      <c r="G16" s="132"/>
      <c r="H16" s="132"/>
      <c r="I16" s="132"/>
      <c r="J16" s="132"/>
      <c r="K16" s="132"/>
    </row>
    <row r="18" spans="2:11" x14ac:dyDescent="0.25">
      <c r="B18" s="114" t="s">
        <v>137</v>
      </c>
    </row>
    <row r="19" spans="2:11" ht="15.75" thickBot="1" x14ac:dyDescent="0.3"/>
    <row r="20" spans="2:11" ht="15.75" thickBot="1" x14ac:dyDescent="0.3">
      <c r="C20" s="99" t="s">
        <v>138</v>
      </c>
      <c r="I20" s="49">
        <f>PMT(F7/12,F6*12,-F5)</f>
        <v>9331.8654481969297</v>
      </c>
    </row>
    <row r="21" spans="2:11" ht="15.75" thickBot="1" x14ac:dyDescent="0.3">
      <c r="C21" s="99" t="s">
        <v>139</v>
      </c>
      <c r="I21" s="49">
        <f>I28</f>
        <v>1245.8806478601214</v>
      </c>
    </row>
    <row r="22" spans="2:11" ht="15.75" thickBot="1" x14ac:dyDescent="0.3">
      <c r="C22" s="99" t="s">
        <v>140</v>
      </c>
      <c r="I22" s="49">
        <f t="shared" ref="I22:I23" si="0">I29</f>
        <v>8085.9848003368079</v>
      </c>
    </row>
    <row r="23" spans="2:11" ht="15.75" thickBot="1" x14ac:dyDescent="0.3">
      <c r="C23" s="99" t="s">
        <v>141</v>
      </c>
      <c r="I23" s="49">
        <f t="shared" si="0"/>
        <v>191254.91885728264</v>
      </c>
    </row>
    <row r="24" spans="2:11" ht="15.75" thickBot="1" x14ac:dyDescent="0.3"/>
    <row r="25" spans="2:11" ht="15.75" thickBot="1" x14ac:dyDescent="0.3">
      <c r="B25" s="132" t="s">
        <v>99</v>
      </c>
      <c r="C25" s="132"/>
      <c r="D25" s="132"/>
      <c r="E25" s="132"/>
      <c r="F25" s="132"/>
      <c r="G25" s="132"/>
      <c r="H25" s="132"/>
      <c r="I25" s="132"/>
      <c r="J25" s="132"/>
      <c r="K25" s="132"/>
    </row>
    <row r="27" spans="2:11" x14ac:dyDescent="0.25">
      <c r="C27" s="107" t="s">
        <v>142</v>
      </c>
      <c r="I27" s="94">
        <f>PV(F7/12,F6*12-F9+1,-I20)</f>
        <v>199340.90365761943</v>
      </c>
    </row>
    <row r="28" spans="2:11" x14ac:dyDescent="0.25">
      <c r="C28" s="107" t="s">
        <v>143</v>
      </c>
      <c r="I28" s="94">
        <f>I27*F7/12</f>
        <v>1245.8806478601214</v>
      </c>
    </row>
    <row r="29" spans="2:11" x14ac:dyDescent="0.25">
      <c r="C29" s="107" t="s">
        <v>144</v>
      </c>
      <c r="I29" s="94">
        <f>I20-I28</f>
        <v>8085.9848003368079</v>
      </c>
    </row>
    <row r="30" spans="2:11" x14ac:dyDescent="0.25">
      <c r="C30" s="107" t="s">
        <v>145</v>
      </c>
      <c r="I30" s="94">
        <f>I27-I29</f>
        <v>191254.91885728264</v>
      </c>
    </row>
  </sheetData>
  <mergeCells count="2">
    <mergeCell ref="B16:K16"/>
    <mergeCell ref="B25:K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8"/>
  <sheetViews>
    <sheetView tabSelected="1" topLeftCell="A50" zoomScale="115" zoomScaleNormal="115" workbookViewId="0">
      <selection activeCell="E62" sqref="E62"/>
    </sheetView>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8" max="8" width="12.28515625" bestFit="1" customWidth="1"/>
    <col min="10" max="14" width="12.7109375" customWidth="1"/>
  </cols>
  <sheetData>
    <row r="2" spans="2:8" ht="23.25" x14ac:dyDescent="0.35">
      <c r="B2" s="1" t="s">
        <v>97</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3" t="s">
        <v>2</v>
      </c>
    </row>
    <row r="12" spans="2:8" ht="14.65" customHeight="1" x14ac:dyDescent="0.25">
      <c r="C12" s="103" t="s">
        <v>89</v>
      </c>
    </row>
    <row r="13" spans="2:8" ht="14.65" customHeight="1" x14ac:dyDescent="0.25">
      <c r="C13" s="103" t="s">
        <v>149</v>
      </c>
    </row>
    <row r="14" spans="2:8" ht="14.65" customHeight="1" x14ac:dyDescent="0.25">
      <c r="C14" s="103" t="s">
        <v>98</v>
      </c>
    </row>
    <row r="15" spans="2:8" ht="15.75" thickBot="1" x14ac:dyDescent="0.3"/>
    <row r="16" spans="2:8" ht="15.75" thickBot="1" x14ac:dyDescent="0.3">
      <c r="D16" s="59" t="s">
        <v>88</v>
      </c>
      <c r="E16" s="60" t="s">
        <v>4</v>
      </c>
      <c r="F16" s="57"/>
    </row>
    <row r="17" spans="3:10" x14ac:dyDescent="0.25">
      <c r="D17" s="61">
        <v>1</v>
      </c>
      <c r="E17" s="64">
        <v>0</v>
      </c>
      <c r="F17" s="57"/>
    </row>
    <row r="18" spans="3:10" x14ac:dyDescent="0.25">
      <c r="D18" s="63">
        <v>2</v>
      </c>
      <c r="E18" s="64">
        <v>0</v>
      </c>
      <c r="F18" s="57"/>
    </row>
    <row r="19" spans="3:10" x14ac:dyDescent="0.25">
      <c r="D19" s="63">
        <v>3</v>
      </c>
      <c r="E19" s="91">
        <v>0</v>
      </c>
    </row>
    <row r="20" spans="3:10" ht="15.75" thickBot="1" x14ac:dyDescent="0.3">
      <c r="D20" s="63">
        <v>4</v>
      </c>
      <c r="E20" s="91">
        <v>0</v>
      </c>
    </row>
    <row r="21" spans="3:10" ht="15.75" thickBot="1" x14ac:dyDescent="0.3">
      <c r="D21" s="63">
        <v>5</v>
      </c>
      <c r="E21" s="90">
        <v>5000</v>
      </c>
      <c r="F21" s="57" t="s">
        <v>5</v>
      </c>
      <c r="H21" s="43">
        <f>E21/1.08^5</f>
        <v>3402.915985168765</v>
      </c>
    </row>
    <row r="22" spans="3:10" x14ac:dyDescent="0.25">
      <c r="D22" s="63">
        <v>6</v>
      </c>
      <c r="E22" s="91">
        <f t="shared" ref="E22:E24" si="0">E21</f>
        <v>5000</v>
      </c>
      <c r="F22" s="57"/>
      <c r="H22" s="43">
        <f>E22/1.08^6</f>
        <v>3150.848134415523</v>
      </c>
    </row>
    <row r="23" spans="3:10" x14ac:dyDescent="0.25">
      <c r="D23" s="63">
        <v>7</v>
      </c>
      <c r="E23" s="91">
        <f t="shared" si="0"/>
        <v>5000</v>
      </c>
      <c r="F23" s="57"/>
      <c r="H23" s="43">
        <f>E23/1.08^7</f>
        <v>2917.4519763106691</v>
      </c>
    </row>
    <row r="24" spans="3:10" x14ac:dyDescent="0.25">
      <c r="D24" s="63">
        <v>8</v>
      </c>
      <c r="E24" s="91">
        <f t="shared" si="0"/>
        <v>5000</v>
      </c>
      <c r="F24" s="57"/>
      <c r="H24" s="43">
        <f>E24/1.08^8</f>
        <v>2701.3444225098788</v>
      </c>
      <c r="J24" s="45"/>
    </row>
    <row r="25" spans="3:10" ht="15.75" thickBot="1" x14ac:dyDescent="0.3">
      <c r="D25" s="65">
        <v>9</v>
      </c>
      <c r="E25" s="64">
        <f t="shared" ref="E25" si="1">E24</f>
        <v>5000</v>
      </c>
      <c r="F25" s="57"/>
      <c r="H25" s="43">
        <f>E25/1.08^9</f>
        <v>2501.244835657295</v>
      </c>
    </row>
    <row r="26" spans="3:10" s="56" customFormat="1" ht="15.75" thickBot="1" x14ac:dyDescent="0.3">
      <c r="D26" s="58">
        <v>10</v>
      </c>
      <c r="E26" s="62">
        <v>2500</v>
      </c>
      <c r="F26" s="57" t="s">
        <v>5</v>
      </c>
      <c r="H26" s="43">
        <f>E26/1.08^10</f>
        <v>1157.9837202117105</v>
      </c>
    </row>
    <row r="28" spans="3:10" x14ac:dyDescent="0.25">
      <c r="C28" t="s">
        <v>90</v>
      </c>
      <c r="E28" s="3">
        <v>0.08</v>
      </c>
      <c r="I28" s="4"/>
    </row>
    <row r="30" spans="3:10" x14ac:dyDescent="0.25">
      <c r="C30" t="s">
        <v>91</v>
      </c>
    </row>
    <row r="31" spans="3:10" x14ac:dyDescent="0.25">
      <c r="C31" t="s">
        <v>92</v>
      </c>
    </row>
    <row r="32" spans="3:10" x14ac:dyDescent="0.25">
      <c r="C32" s="66" t="s">
        <v>148</v>
      </c>
    </row>
    <row r="33" spans="2:8" ht="15.75" thickBot="1" x14ac:dyDescent="0.3"/>
    <row r="34" spans="2:8" ht="15.75" thickBot="1" x14ac:dyDescent="0.3">
      <c r="C34" t="s">
        <v>93</v>
      </c>
      <c r="D34" s="133">
        <f>PV(E28,4,0,PV(E28,6,E21,E26-E21))</f>
        <v>15831.789074273855</v>
      </c>
      <c r="E34" s="134"/>
    </row>
    <row r="36" spans="2:8" x14ac:dyDescent="0.25">
      <c r="B36" s="70" t="s">
        <v>1</v>
      </c>
      <c r="C36" s="67" t="s">
        <v>100</v>
      </c>
      <c r="D36" s="67"/>
      <c r="E36" s="67"/>
      <c r="F36" s="67"/>
      <c r="G36" s="67"/>
      <c r="H36" s="67"/>
    </row>
    <row r="37" spans="2:8" s="66" customFormat="1" x14ac:dyDescent="0.25">
      <c r="B37" s="67"/>
      <c r="C37" s="72" t="s">
        <v>101</v>
      </c>
      <c r="D37" s="67"/>
      <c r="E37" s="67"/>
      <c r="F37" s="67"/>
      <c r="G37" s="67"/>
      <c r="H37" s="67"/>
    </row>
    <row r="38" spans="2:8" s="66" customFormat="1" x14ac:dyDescent="0.25">
      <c r="B38" s="67"/>
      <c r="C38" s="72" t="s">
        <v>150</v>
      </c>
      <c r="D38" s="67"/>
      <c r="E38" s="67"/>
      <c r="F38" s="67"/>
      <c r="G38" s="67"/>
      <c r="H38" s="67"/>
    </row>
    <row r="39" spans="2:8" s="66" customFormat="1" ht="15.75" thickBot="1" x14ac:dyDescent="0.3">
      <c r="B39" s="67"/>
      <c r="C39" s="67"/>
      <c r="D39" s="67"/>
      <c r="E39" s="67"/>
      <c r="F39" s="67"/>
      <c r="G39" s="67"/>
      <c r="H39" s="67"/>
    </row>
    <row r="40" spans="2:8" s="66" customFormat="1" ht="15.75" thickBot="1" x14ac:dyDescent="0.3">
      <c r="B40" s="67"/>
      <c r="C40" s="73" t="s">
        <v>102</v>
      </c>
      <c r="D40" s="67"/>
      <c r="E40" s="67"/>
      <c r="F40" s="74">
        <v>9.2499999999999999E-2</v>
      </c>
      <c r="G40" s="67"/>
      <c r="H40" s="67"/>
    </row>
    <row r="41" spans="2:8" s="66" customFormat="1" ht="15.75" thickBot="1" x14ac:dyDescent="0.3">
      <c r="B41" s="67"/>
      <c r="C41" s="67"/>
      <c r="D41" s="67"/>
      <c r="E41" s="68"/>
      <c r="F41" s="68"/>
      <c r="G41" s="67"/>
      <c r="H41" s="67"/>
    </row>
    <row r="42" spans="2:8" s="66" customFormat="1" ht="45.75" thickBot="1" x14ac:dyDescent="0.3">
      <c r="B42" s="67"/>
      <c r="C42" s="67"/>
      <c r="D42" s="67"/>
      <c r="E42" s="76" t="s">
        <v>103</v>
      </c>
      <c r="F42" s="76" t="s">
        <v>104</v>
      </c>
      <c r="G42" s="67"/>
      <c r="H42" s="67"/>
    </row>
    <row r="43" spans="2:8" s="66" customFormat="1" x14ac:dyDescent="0.25">
      <c r="B43" s="67"/>
      <c r="C43" s="67"/>
      <c r="D43" s="67"/>
      <c r="E43" s="69" t="s">
        <v>76</v>
      </c>
      <c r="F43" s="75">
        <f>FV(F40/4,4,0,-1)-1</f>
        <v>9.5758345544586732E-2</v>
      </c>
      <c r="G43" s="67"/>
      <c r="H43" s="67"/>
    </row>
    <row r="44" spans="2:8" s="66" customFormat="1" x14ac:dyDescent="0.25">
      <c r="B44" s="67"/>
      <c r="C44" s="67"/>
      <c r="D44" s="67"/>
      <c r="E44" s="69" t="s">
        <v>77</v>
      </c>
      <c r="F44" s="75">
        <f>FV(F40/12,12,0,-1)-1</f>
        <v>9.652414766105033E-2</v>
      </c>
      <c r="G44" s="67"/>
      <c r="H44" s="67"/>
    </row>
    <row r="45" spans="2:8" s="66" customFormat="1" ht="15.75" thickBot="1" x14ac:dyDescent="0.3">
      <c r="B45" s="67"/>
      <c r="C45" s="67"/>
      <c r="D45" s="67"/>
      <c r="E45" s="69" t="s">
        <v>105</v>
      </c>
      <c r="F45" s="75">
        <f>FV(F40/365,365,0,-1)-1</f>
        <v>9.6900287008653496E-2</v>
      </c>
      <c r="G45" s="67"/>
      <c r="H45" s="67"/>
    </row>
    <row r="46" spans="2:8" s="66" customFormat="1" ht="15.75" thickBot="1" x14ac:dyDescent="0.3">
      <c r="B46" s="67"/>
      <c r="C46" s="67"/>
      <c r="D46" s="67"/>
      <c r="E46" s="77" t="s">
        <v>106</v>
      </c>
      <c r="F46" s="71">
        <f>EXP(F40)-1</f>
        <v>9.691314156030395E-2</v>
      </c>
      <c r="G46" s="67"/>
      <c r="H46" s="67"/>
    </row>
    <row r="47" spans="2:8" s="66" customFormat="1" x14ac:dyDescent="0.25"/>
    <row r="48" spans="2:8" s="66" customFormat="1" x14ac:dyDescent="0.25"/>
    <row r="49" spans="2:12" x14ac:dyDescent="0.25">
      <c r="B49" s="54" t="s">
        <v>6</v>
      </c>
      <c r="C49" t="s">
        <v>73</v>
      </c>
    </row>
    <row r="50" spans="2:12" s="88" customFormat="1" x14ac:dyDescent="0.25">
      <c r="B50" s="89"/>
    </row>
    <row r="51" spans="2:12" s="88" customFormat="1" x14ac:dyDescent="0.25">
      <c r="B51" s="89"/>
    </row>
    <row r="52" spans="2:12" s="88" customFormat="1" ht="46.9" customHeight="1" x14ac:dyDescent="0.25">
      <c r="B52" s="89"/>
      <c r="D52" s="103"/>
    </row>
    <row r="53" spans="2:12" s="88" customFormat="1" x14ac:dyDescent="0.25">
      <c r="B53" s="89"/>
    </row>
    <row r="54" spans="2:12" x14ac:dyDescent="0.25">
      <c r="C54" s="107" t="s">
        <v>175</v>
      </c>
    </row>
    <row r="55" spans="2:12" ht="14.65" customHeight="1" x14ac:dyDescent="0.25">
      <c r="C55" s="107" t="s">
        <v>174</v>
      </c>
    </row>
    <row r="56" spans="2:12" x14ac:dyDescent="0.25">
      <c r="C56" s="107" t="s">
        <v>74</v>
      </c>
      <c r="L56" s="4"/>
    </row>
    <row r="57" spans="2:12" x14ac:dyDescent="0.25">
      <c r="C57" s="92" t="s">
        <v>83</v>
      </c>
      <c r="J57" s="79"/>
    </row>
    <row r="58" spans="2:12" x14ac:dyDescent="0.25">
      <c r="C58" s="92" t="s">
        <v>154</v>
      </c>
      <c r="J58" s="79"/>
    </row>
    <row r="59" spans="2:12" s="79" customFormat="1" ht="8.25" customHeight="1" x14ac:dyDescent="0.25">
      <c r="C59" s="81"/>
      <c r="J59" s="92"/>
      <c r="K59" s="94"/>
    </row>
    <row r="60" spans="2:12" s="79" customFormat="1" ht="8.25" customHeight="1" x14ac:dyDescent="0.25">
      <c r="C60" s="80"/>
      <c r="J60" s="92"/>
    </row>
    <row r="61" spans="2:12" x14ac:dyDescent="0.25">
      <c r="C61" s="92" t="s">
        <v>151</v>
      </c>
      <c r="D61" s="92"/>
      <c r="E61" s="93">
        <f>-PV(0.08,3,500)/1.08</f>
        <v>1193.1004570592038</v>
      </c>
      <c r="J61" s="92"/>
      <c r="K61" s="92"/>
      <c r="L61" s="93"/>
    </row>
    <row r="62" spans="2:12" x14ac:dyDescent="0.25">
      <c r="C62" s="92" t="s">
        <v>152</v>
      </c>
      <c r="D62" s="92"/>
      <c r="E62" s="93">
        <f>PV(0.08,7,0,PV(0.08,3,500,250))</f>
        <v>867.65404188023115</v>
      </c>
      <c r="J62" s="107"/>
      <c r="K62" s="92"/>
      <c r="L62" s="93"/>
    </row>
    <row r="63" spans="2:12" x14ac:dyDescent="0.25">
      <c r="C63" s="92" t="s">
        <v>94</v>
      </c>
      <c r="D63" s="92"/>
      <c r="E63" s="93">
        <f>SUM(E61:E62)</f>
        <v>2060.7544989394351</v>
      </c>
      <c r="J63" s="107"/>
      <c r="K63" s="92"/>
      <c r="L63" s="93"/>
    </row>
    <row r="64" spans="2:12" x14ac:dyDescent="0.25">
      <c r="C64" s="92" t="s">
        <v>95</v>
      </c>
      <c r="D64" s="92"/>
      <c r="E64" s="93">
        <f>4000-E63</f>
        <v>1939.2455010605649</v>
      </c>
      <c r="J64" s="92"/>
      <c r="K64" s="92"/>
      <c r="L64" s="93"/>
    </row>
    <row r="65" spans="2:14" x14ac:dyDescent="0.25">
      <c r="C65" s="92" t="s">
        <v>153</v>
      </c>
      <c r="D65" s="92"/>
      <c r="E65" s="93">
        <f>FV(0.08,4,0,-E64)</f>
        <v>2638.3220949225674</v>
      </c>
      <c r="K65" s="92"/>
      <c r="L65" s="93"/>
    </row>
    <row r="66" spans="2:14" x14ac:dyDescent="0.25">
      <c r="C66" s="92" t="s">
        <v>96</v>
      </c>
      <c r="D66" s="92"/>
      <c r="E66" s="93">
        <f>PMT(0.08,3,-E65)</f>
        <v>1023.7573936788742</v>
      </c>
      <c r="H66" s="92"/>
      <c r="K66" s="92"/>
      <c r="L66" s="93"/>
    </row>
    <row r="67" spans="2:14" x14ac:dyDescent="0.25">
      <c r="F67" s="40"/>
      <c r="J67" s="94"/>
    </row>
    <row r="68" spans="2:14" x14ac:dyDescent="0.25">
      <c r="B68" s="54" t="s">
        <v>7</v>
      </c>
      <c r="C68" t="s">
        <v>20</v>
      </c>
    </row>
    <row r="69" spans="2:14" ht="17.25" x14ac:dyDescent="0.4">
      <c r="C69" t="s">
        <v>156</v>
      </c>
      <c r="I69" s="18" t="s">
        <v>3</v>
      </c>
      <c r="J69" s="18" t="s">
        <v>17</v>
      </c>
      <c r="K69" s="18" t="s">
        <v>18</v>
      </c>
      <c r="L69" s="18" t="s">
        <v>28</v>
      </c>
      <c r="M69" s="18" t="s">
        <v>19</v>
      </c>
      <c r="N69" s="18"/>
    </row>
    <row r="70" spans="2:14" x14ac:dyDescent="0.25">
      <c r="C70" t="s">
        <v>155</v>
      </c>
      <c r="I70" s="17">
        <v>1</v>
      </c>
      <c r="J70">
        <v>2500</v>
      </c>
      <c r="K70">
        <v>1800</v>
      </c>
      <c r="L70">
        <v>300</v>
      </c>
      <c r="M70">
        <v>125</v>
      </c>
    </row>
    <row r="71" spans="2:14" ht="15.75" thickBot="1" x14ac:dyDescent="0.3">
      <c r="I71" s="17">
        <v>2</v>
      </c>
      <c r="J71">
        <v>3000</v>
      </c>
      <c r="K71">
        <v>2200</v>
      </c>
      <c r="L71">
        <v>315</v>
      </c>
      <c r="M71">
        <v>150</v>
      </c>
    </row>
    <row r="72" spans="2:14" ht="15.75" thickBot="1" x14ac:dyDescent="0.3">
      <c r="C72" s="7" t="s">
        <v>21</v>
      </c>
      <c r="E72" s="19">
        <v>7</v>
      </c>
      <c r="I72" s="17">
        <v>3</v>
      </c>
      <c r="J72">
        <v>3250</v>
      </c>
      <c r="K72">
        <v>2400</v>
      </c>
      <c r="L72">
        <v>325</v>
      </c>
      <c r="M72">
        <v>162</v>
      </c>
    </row>
    <row r="73" spans="2:14" ht="15.75" thickBot="1" x14ac:dyDescent="0.3">
      <c r="C73" s="16"/>
      <c r="I73" s="17">
        <v>4</v>
      </c>
      <c r="J73">
        <v>4000</v>
      </c>
      <c r="K73">
        <v>3100</v>
      </c>
      <c r="L73">
        <v>400</v>
      </c>
      <c r="M73">
        <v>200</v>
      </c>
    </row>
    <row r="74" spans="2:14" ht="15.75" thickBot="1" x14ac:dyDescent="0.3">
      <c r="C74" s="7" t="s">
        <v>28</v>
      </c>
      <c r="E74" s="20">
        <f>VLOOKUP(E72,I70:M79,4)</f>
        <v>500</v>
      </c>
      <c r="I74" s="17">
        <v>5</v>
      </c>
      <c r="J74">
        <v>4500</v>
      </c>
      <c r="K74">
        <v>3300</v>
      </c>
      <c r="L74">
        <v>430</v>
      </c>
      <c r="M74">
        <v>225</v>
      </c>
    </row>
    <row r="75" spans="2:14" x14ac:dyDescent="0.25">
      <c r="I75" s="17">
        <v>6</v>
      </c>
      <c r="J75">
        <v>5200</v>
      </c>
      <c r="K75">
        <v>3900</v>
      </c>
      <c r="L75">
        <v>450</v>
      </c>
      <c r="M75">
        <v>260</v>
      </c>
    </row>
    <row r="76" spans="2:14" x14ac:dyDescent="0.25">
      <c r="I76" s="17">
        <v>7</v>
      </c>
      <c r="J76">
        <v>5900</v>
      </c>
      <c r="K76">
        <v>4400</v>
      </c>
      <c r="L76">
        <v>500</v>
      </c>
      <c r="M76">
        <v>295</v>
      </c>
    </row>
    <row r="77" spans="2:14" x14ac:dyDescent="0.25">
      <c r="I77" s="17">
        <v>8</v>
      </c>
      <c r="J77">
        <v>6500</v>
      </c>
      <c r="K77">
        <v>4800</v>
      </c>
      <c r="L77">
        <v>550</v>
      </c>
      <c r="M77">
        <v>325</v>
      </c>
    </row>
    <row r="78" spans="2:14" x14ac:dyDescent="0.25">
      <c r="I78" s="17">
        <v>9</v>
      </c>
      <c r="J78">
        <v>8000</v>
      </c>
      <c r="K78">
        <v>6000</v>
      </c>
      <c r="L78">
        <v>590</v>
      </c>
      <c r="M78">
        <v>400</v>
      </c>
    </row>
    <row r="79" spans="2:14" x14ac:dyDescent="0.25">
      <c r="I79" s="17">
        <v>10</v>
      </c>
      <c r="J79">
        <v>9250</v>
      </c>
      <c r="K79">
        <v>6900</v>
      </c>
      <c r="L79">
        <v>700</v>
      </c>
      <c r="M79">
        <v>475</v>
      </c>
    </row>
    <row r="81" spans="2:4" x14ac:dyDescent="0.25">
      <c r="B81" s="78" t="s">
        <v>109</v>
      </c>
      <c r="C81" t="s">
        <v>157</v>
      </c>
    </row>
    <row r="82" spans="2:4" s="107" customFormat="1" x14ac:dyDescent="0.25">
      <c r="B82" s="89"/>
      <c r="C82" s="107" t="s">
        <v>176</v>
      </c>
    </row>
    <row r="83" spans="2:4" s="107" customFormat="1" x14ac:dyDescent="0.25">
      <c r="B83" s="89"/>
      <c r="C83" s="107" t="s">
        <v>158</v>
      </c>
    </row>
    <row r="84" spans="2:4" s="107" customFormat="1" x14ac:dyDescent="0.25">
      <c r="B84" s="89"/>
      <c r="C84" s="107" t="s">
        <v>177</v>
      </c>
    </row>
    <row r="85" spans="2:4" s="107" customFormat="1" x14ac:dyDescent="0.25">
      <c r="B85" s="89"/>
      <c r="C85" s="107" t="s">
        <v>178</v>
      </c>
    </row>
    <row r="86" spans="2:4" x14ac:dyDescent="0.25">
      <c r="C86" t="s">
        <v>159</v>
      </c>
    </row>
    <row r="87" spans="2:4" s="107" customFormat="1" x14ac:dyDescent="0.25">
      <c r="C87" s="107" t="s">
        <v>179</v>
      </c>
    </row>
    <row r="88" spans="2:4" ht="15.75" thickBot="1" x14ac:dyDescent="0.3"/>
    <row r="89" spans="2:4" ht="15.75" thickBot="1" x14ac:dyDescent="0.3">
      <c r="C89" s="122" t="s">
        <v>3</v>
      </c>
      <c r="D89" s="123" t="s">
        <v>17</v>
      </c>
    </row>
    <row r="90" spans="2:4" x14ac:dyDescent="0.25">
      <c r="C90" s="116">
        <v>2005</v>
      </c>
      <c r="D90" s="117">
        <v>1345000</v>
      </c>
    </row>
    <row r="91" spans="2:4" x14ac:dyDescent="0.25">
      <c r="C91" s="82">
        <v>2006</v>
      </c>
      <c r="D91" s="85">
        <v>1472000</v>
      </c>
    </row>
    <row r="92" spans="2:4" x14ac:dyDescent="0.25">
      <c r="C92" s="82">
        <v>2007</v>
      </c>
      <c r="D92" s="85">
        <v>1725000</v>
      </c>
    </row>
    <row r="93" spans="2:4" x14ac:dyDescent="0.25">
      <c r="C93" s="82">
        <v>2008</v>
      </c>
      <c r="D93" s="85">
        <v>1815000</v>
      </c>
    </row>
    <row r="94" spans="2:4" x14ac:dyDescent="0.25">
      <c r="C94" s="82">
        <v>2009</v>
      </c>
      <c r="D94" s="85">
        <v>1750000</v>
      </c>
    </row>
    <row r="95" spans="2:4" x14ac:dyDescent="0.25">
      <c r="C95" s="82">
        <v>2010</v>
      </c>
      <c r="D95" s="85">
        <v>1949000</v>
      </c>
    </row>
    <row r="96" spans="2:4" s="103" customFormat="1" x14ac:dyDescent="0.25">
      <c r="C96" s="82">
        <v>2011</v>
      </c>
      <c r="D96" s="85">
        <v>2045000</v>
      </c>
    </row>
    <row r="97" spans="3:4" x14ac:dyDescent="0.25">
      <c r="C97" s="82">
        <v>2012</v>
      </c>
      <c r="D97" s="85">
        <v>2450000</v>
      </c>
    </row>
    <row r="98" spans="3:4" ht="15.75" thickBot="1" x14ac:dyDescent="0.3">
      <c r="C98" s="83">
        <v>2013</v>
      </c>
      <c r="D98" s="118">
        <v>2258000</v>
      </c>
    </row>
  </sheetData>
  <mergeCells count="1">
    <mergeCell ref="D34:E34"/>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showGridLines="0" zoomScale="145" zoomScaleNormal="145" workbookViewId="0">
      <selection activeCell="I25" sqref="I25"/>
    </sheetView>
  </sheetViews>
  <sheetFormatPr defaultColWidth="8.7109375" defaultRowHeight="15" x14ac:dyDescent="0.25"/>
  <cols>
    <col min="1" max="1" width="6.28515625" style="22" customWidth="1"/>
    <col min="2" max="2" width="4" style="21" customWidth="1"/>
    <col min="3" max="3" width="30.7109375" style="21" customWidth="1"/>
    <col min="4" max="4" width="17" style="22" customWidth="1"/>
    <col min="5" max="6" width="14.5703125" style="22" customWidth="1"/>
    <col min="7" max="7" width="4.140625" style="22" customWidth="1"/>
    <col min="8" max="16384" width="8.7109375" style="22"/>
  </cols>
  <sheetData>
    <row r="24" spans="3:6" ht="15.75" thickBot="1" x14ac:dyDescent="0.3"/>
    <row r="25" spans="3:6" ht="15.75" thickBot="1" x14ac:dyDescent="0.3">
      <c r="C25" s="135" t="s">
        <v>57</v>
      </c>
      <c r="D25" s="136"/>
      <c r="E25" s="136"/>
      <c r="F25" s="136"/>
    </row>
    <row r="26" spans="3:6" x14ac:dyDescent="0.25">
      <c r="C26" s="35" t="s">
        <v>124</v>
      </c>
      <c r="F26" s="97">
        <v>0.12</v>
      </c>
    </row>
    <row r="27" spans="3:6" x14ac:dyDescent="0.25">
      <c r="C27" s="35" t="s">
        <v>56</v>
      </c>
      <c r="F27" s="97">
        <v>4.1500000000000002E-2</v>
      </c>
    </row>
    <row r="28" spans="3:6" x14ac:dyDescent="0.25">
      <c r="C28" s="35" t="s">
        <v>55</v>
      </c>
      <c r="F28" s="97">
        <v>7.1999999999999995E-2</v>
      </c>
    </row>
    <row r="29" spans="3:6" x14ac:dyDescent="0.25">
      <c r="C29" s="35" t="s">
        <v>125</v>
      </c>
      <c r="F29" s="96">
        <v>0.34</v>
      </c>
    </row>
    <row r="30" spans="3:6" x14ac:dyDescent="0.25">
      <c r="C30" s="35" t="s">
        <v>126</v>
      </c>
      <c r="F30" s="95">
        <v>430000</v>
      </c>
    </row>
    <row r="31" spans="3:6" x14ac:dyDescent="0.25">
      <c r="C31" s="35" t="s">
        <v>127</v>
      </c>
      <c r="F31" s="95">
        <v>300000</v>
      </c>
    </row>
    <row r="32" spans="3:6" x14ac:dyDescent="0.25">
      <c r="C32" s="35" t="s">
        <v>128</v>
      </c>
      <c r="F32" s="95">
        <v>45000</v>
      </c>
    </row>
    <row r="33" spans="3:12" ht="7.5" customHeight="1" thickBot="1" x14ac:dyDescent="0.3">
      <c r="C33" s="36"/>
      <c r="D33" s="25"/>
      <c r="E33" s="25"/>
      <c r="F33" s="37"/>
    </row>
    <row r="34" spans="3:12" x14ac:dyDescent="0.25">
      <c r="C34" s="35"/>
      <c r="F34" s="95"/>
    </row>
    <row r="35" spans="3:12" ht="21.75" thickBot="1" x14ac:dyDescent="0.4">
      <c r="C35" s="137" t="s">
        <v>22</v>
      </c>
      <c r="D35" s="137"/>
      <c r="E35" s="137"/>
      <c r="F35" s="137"/>
    </row>
    <row r="36" spans="3:12" ht="19.5" customHeight="1" thickBot="1" x14ac:dyDescent="0.3">
      <c r="C36" s="120"/>
      <c r="D36" s="104">
        <v>2011</v>
      </c>
      <c r="E36" s="104">
        <v>2012</v>
      </c>
      <c r="F36" s="104">
        <v>2013</v>
      </c>
    </row>
    <row r="37" spans="3:12" ht="17.25" customHeight="1" x14ac:dyDescent="0.25">
      <c r="C37" s="31" t="s">
        <v>17</v>
      </c>
      <c r="D37" s="22">
        <v>3514000</v>
      </c>
      <c r="E37" s="22">
        <v>3795120.0000000005</v>
      </c>
      <c r="F37" s="42">
        <f>E37*(1+F26)</f>
        <v>4250534.4000000013</v>
      </c>
    </row>
    <row r="38" spans="3:12" ht="17.25" x14ac:dyDescent="0.4">
      <c r="C38" s="34" t="s">
        <v>23</v>
      </c>
      <c r="D38" s="84">
        <v>2284100</v>
      </c>
      <c r="E38" s="84">
        <v>2656584</v>
      </c>
      <c r="F38" s="84">
        <f>$F$37*J38*1.05</f>
        <v>3012566.2560000014</v>
      </c>
      <c r="H38" s="48">
        <f>D38/D$37</f>
        <v>0.65</v>
      </c>
      <c r="I38" s="48">
        <f>E38/E$37</f>
        <v>0.7</v>
      </c>
      <c r="J38" s="50">
        <f>AVERAGE(H38:I38)</f>
        <v>0.67500000000000004</v>
      </c>
      <c r="L38" s="107"/>
    </row>
    <row r="39" spans="3:12" x14ac:dyDescent="0.25">
      <c r="C39" s="32" t="s">
        <v>24</v>
      </c>
      <c r="D39" s="22">
        <f>D37-D38</f>
        <v>1229900</v>
      </c>
      <c r="E39" s="22">
        <f>E37-E38</f>
        <v>1138536.0000000005</v>
      </c>
      <c r="F39" s="22">
        <f>F37-F38</f>
        <v>1237968.1439999999</v>
      </c>
    </row>
    <row r="40" spans="3:12" x14ac:dyDescent="0.25">
      <c r="C40" s="31" t="s">
        <v>25</v>
      </c>
      <c r="D40" s="22">
        <v>350000</v>
      </c>
      <c r="E40" s="22">
        <v>375000</v>
      </c>
      <c r="F40" s="22">
        <f>$F$37*J40</f>
        <v>421680.00000000012</v>
      </c>
      <c r="G40" s="24"/>
      <c r="H40" s="48">
        <f>D40/D$37</f>
        <v>9.9601593625498003E-2</v>
      </c>
      <c r="I40" s="48">
        <f>E40/E$37</f>
        <v>9.8811104787200399E-2</v>
      </c>
      <c r="J40" s="50">
        <f>AVERAGE(H40:I40)</f>
        <v>9.9206349206349201E-2</v>
      </c>
    </row>
    <row r="41" spans="3:12" x14ac:dyDescent="0.25">
      <c r="C41" s="31" t="s">
        <v>26</v>
      </c>
      <c r="D41" s="22">
        <v>120000</v>
      </c>
      <c r="E41" s="22">
        <v>125000</v>
      </c>
      <c r="F41" s="55">
        <v>130000</v>
      </c>
    </row>
    <row r="42" spans="3:12" ht="17.25" x14ac:dyDescent="0.4">
      <c r="C42" s="34" t="s">
        <v>27</v>
      </c>
      <c r="D42" s="84">
        <v>30000</v>
      </c>
      <c r="E42" s="84">
        <v>32500</v>
      </c>
      <c r="F42" s="84">
        <f>E42+F32</f>
        <v>77500</v>
      </c>
    </row>
    <row r="43" spans="3:12" x14ac:dyDescent="0.25">
      <c r="C43" s="32" t="s">
        <v>28</v>
      </c>
      <c r="D43" s="22">
        <f>D39-D40-D41-D42</f>
        <v>729900</v>
      </c>
      <c r="E43" s="22">
        <f>E39-E40-E41-E42</f>
        <v>606036.00000000047</v>
      </c>
      <c r="F43" s="22">
        <f>F39-F40-F41-F42</f>
        <v>608788.14399999974</v>
      </c>
    </row>
    <row r="44" spans="3:12" ht="17.25" x14ac:dyDescent="0.4">
      <c r="C44" s="34" t="s">
        <v>29</v>
      </c>
      <c r="D44" s="84">
        <v>56000</v>
      </c>
      <c r="E44" s="84">
        <v>62900</v>
      </c>
      <c r="F44" s="84">
        <f>F27*E61+F28*E64</f>
        <v>44715</v>
      </c>
    </row>
    <row r="45" spans="3:12" x14ac:dyDescent="0.25">
      <c r="C45" s="32" t="s">
        <v>30</v>
      </c>
      <c r="D45" s="22">
        <f>D43-D44</f>
        <v>673900</v>
      </c>
      <c r="E45" s="22">
        <f>E43-E44</f>
        <v>543136.00000000047</v>
      </c>
      <c r="F45" s="22">
        <f>F43-F44</f>
        <v>564073.14399999974</v>
      </c>
    </row>
    <row r="46" spans="3:12" ht="17.25" x14ac:dyDescent="0.4">
      <c r="C46" s="34" t="s">
        <v>31</v>
      </c>
      <c r="D46" s="84">
        <v>235800</v>
      </c>
      <c r="E46" s="84">
        <v>207600</v>
      </c>
      <c r="F46" s="84">
        <f>F45*F29</f>
        <v>191784.86895999993</v>
      </c>
    </row>
    <row r="47" spans="3:12" ht="15.75" thickBot="1" x14ac:dyDescent="0.3">
      <c r="C47" s="33" t="s">
        <v>19</v>
      </c>
      <c r="D47" s="25">
        <f>D45-D46</f>
        <v>438100</v>
      </c>
      <c r="E47" s="25">
        <f>E45-E46</f>
        <v>335536.00000000047</v>
      </c>
      <c r="F47" s="25">
        <f>F45-F46</f>
        <v>372288.2750399998</v>
      </c>
    </row>
    <row r="48" spans="3:12" ht="7.5" customHeight="1" x14ac:dyDescent="0.25">
      <c r="C48" s="99"/>
      <c r="D48" s="107"/>
      <c r="E48" s="107"/>
      <c r="F48" s="107"/>
    </row>
    <row r="49" spans="2:10" ht="21.75" thickBot="1" x14ac:dyDescent="0.4">
      <c r="B49" s="137" t="s">
        <v>32</v>
      </c>
      <c r="C49" s="137"/>
      <c r="D49" s="137"/>
      <c r="E49" s="137"/>
      <c r="F49" s="137"/>
    </row>
    <row r="50" spans="2:10" ht="15.75" thickBot="1" x14ac:dyDescent="0.3">
      <c r="B50" s="26" t="s">
        <v>33</v>
      </c>
      <c r="C50" s="26"/>
      <c r="D50" s="104">
        <v>2011</v>
      </c>
      <c r="E50" s="104">
        <v>2012</v>
      </c>
      <c r="F50" s="104">
        <v>2013</v>
      </c>
    </row>
    <row r="51" spans="2:10" x14ac:dyDescent="0.25">
      <c r="B51" s="27" t="s">
        <v>34</v>
      </c>
      <c r="D51" s="22">
        <v>52000</v>
      </c>
      <c r="E51" s="22">
        <v>118036</v>
      </c>
      <c r="F51" s="55">
        <v>125000</v>
      </c>
    </row>
    <row r="52" spans="2:10" x14ac:dyDescent="0.25">
      <c r="B52" s="27" t="s">
        <v>35</v>
      </c>
      <c r="D52" s="22">
        <v>406000</v>
      </c>
      <c r="E52" s="22">
        <v>540000</v>
      </c>
      <c r="F52" s="22">
        <f>$F$37*J52</f>
        <v>547948.80000000005</v>
      </c>
      <c r="H52" s="48">
        <f>D52/D$37</f>
        <v>0.11553784860557768</v>
      </c>
      <c r="I52" s="48">
        <f>E52/E$37</f>
        <v>0.14228799089356856</v>
      </c>
      <c r="J52" s="50">
        <f>AVERAGE(H52:I52)</f>
        <v>0.12891291974957311</v>
      </c>
    </row>
    <row r="53" spans="2:10" ht="17.25" x14ac:dyDescent="0.4">
      <c r="B53" s="27" t="s">
        <v>36</v>
      </c>
      <c r="D53" s="84">
        <v>854000</v>
      </c>
      <c r="E53" s="84">
        <v>740000</v>
      </c>
      <c r="F53" s="84">
        <f>$F$37*J53</f>
        <v>930899.2000000003</v>
      </c>
      <c r="H53" s="48">
        <f>D53/D$37</f>
        <v>0.24302788844621515</v>
      </c>
      <c r="I53" s="48">
        <f>E53/E$37</f>
        <v>0.19498724678007545</v>
      </c>
      <c r="J53" s="50">
        <f>AVERAGE(H53:I53)</f>
        <v>0.2190075676131453</v>
      </c>
    </row>
    <row r="54" spans="2:10" x14ac:dyDescent="0.25">
      <c r="B54" s="28" t="s">
        <v>37</v>
      </c>
      <c r="D54" s="22">
        <f>D51+D52+D53</f>
        <v>1312000</v>
      </c>
      <c r="E54" s="22">
        <f>E51+E52+E53</f>
        <v>1398036</v>
      </c>
      <c r="F54" s="22">
        <f>SUM(F51:F53)</f>
        <v>1603848.0000000005</v>
      </c>
    </row>
    <row r="55" spans="2:10" x14ac:dyDescent="0.25">
      <c r="B55" s="27" t="s">
        <v>38</v>
      </c>
      <c r="D55" s="22">
        <v>429000</v>
      </c>
      <c r="E55" s="22">
        <v>580000</v>
      </c>
      <c r="F55" s="22">
        <f>E55+F31</f>
        <v>880000</v>
      </c>
    </row>
    <row r="56" spans="2:10" ht="17.25" x14ac:dyDescent="0.4">
      <c r="B56" s="27" t="s">
        <v>39</v>
      </c>
      <c r="D56" s="84">
        <v>126000</v>
      </c>
      <c r="E56" s="84">
        <v>158500</v>
      </c>
      <c r="F56" s="84">
        <f>E56+F42</f>
        <v>236000</v>
      </c>
    </row>
    <row r="57" spans="2:10" ht="17.25" x14ac:dyDescent="0.4">
      <c r="B57" s="28" t="s">
        <v>40</v>
      </c>
      <c r="D57" s="84">
        <f>D55-D56</f>
        <v>303000</v>
      </c>
      <c r="E57" s="84">
        <f>E55-E56</f>
        <v>421500</v>
      </c>
      <c r="F57" s="84">
        <f>F55-F56</f>
        <v>644000</v>
      </c>
    </row>
    <row r="58" spans="2:10" ht="15.75" thickBot="1" x14ac:dyDescent="0.3">
      <c r="B58" s="28" t="s">
        <v>41</v>
      </c>
      <c r="D58" s="22">
        <f>D54+D57</f>
        <v>1615000</v>
      </c>
      <c r="E58" s="22">
        <f>E54+E57</f>
        <v>1819536</v>
      </c>
      <c r="F58" s="22">
        <f>F54+F57</f>
        <v>2247848.0000000005</v>
      </c>
    </row>
    <row r="59" spans="2:10" x14ac:dyDescent="0.25">
      <c r="B59" s="26" t="s">
        <v>42</v>
      </c>
      <c r="C59" s="26"/>
      <c r="D59" s="23"/>
      <c r="E59" s="23"/>
      <c r="F59" s="23"/>
    </row>
    <row r="60" spans="2:10" x14ac:dyDescent="0.25">
      <c r="B60" s="27" t="s">
        <v>43</v>
      </c>
      <c r="D60" s="22">
        <v>130000</v>
      </c>
      <c r="E60" s="22">
        <v>150000</v>
      </c>
      <c r="F60" s="22">
        <f>$F$37*J60</f>
        <v>162624.00000000003</v>
      </c>
      <c r="H60" s="48">
        <f>D60/D$37</f>
        <v>3.6994877632327831E-2</v>
      </c>
      <c r="I60" s="48">
        <f>E60/E$37</f>
        <v>3.9524441914880158E-2</v>
      </c>
      <c r="J60" s="50">
        <f>AVERAGE(H60:I60)</f>
        <v>3.8259659773603995E-2</v>
      </c>
    </row>
    <row r="61" spans="2:10" x14ac:dyDescent="0.25">
      <c r="B61" s="27" t="s">
        <v>44</v>
      </c>
      <c r="D61" s="22">
        <v>179000</v>
      </c>
      <c r="E61" s="22">
        <v>210000</v>
      </c>
      <c r="F61" s="55">
        <v>245000</v>
      </c>
    </row>
    <row r="62" spans="2:10" ht="17.25" x14ac:dyDescent="0.4">
      <c r="B62" s="27" t="s">
        <v>45</v>
      </c>
      <c r="D62" s="84">
        <v>118000</v>
      </c>
      <c r="E62" s="84">
        <v>85000</v>
      </c>
      <c r="F62" s="53">
        <v>100000</v>
      </c>
    </row>
    <row r="63" spans="2:10" x14ac:dyDescent="0.25">
      <c r="B63" s="28" t="s">
        <v>46</v>
      </c>
      <c r="D63" s="22">
        <f>D60+D61+D62</f>
        <v>427000</v>
      </c>
      <c r="E63" s="22">
        <f>E60+E61+E62</f>
        <v>445000</v>
      </c>
      <c r="F63" s="22">
        <f>SUM(F60:F62)</f>
        <v>507624</v>
      </c>
    </row>
    <row r="64" spans="2:10" ht="17.25" x14ac:dyDescent="0.4">
      <c r="B64" s="27" t="s">
        <v>47</v>
      </c>
      <c r="D64" s="84">
        <v>614000</v>
      </c>
      <c r="E64" s="84">
        <v>500000</v>
      </c>
      <c r="F64" s="53">
        <v>475000</v>
      </c>
    </row>
    <row r="65" spans="2:6" x14ac:dyDescent="0.25">
      <c r="B65" s="28" t="s">
        <v>48</v>
      </c>
      <c r="D65" s="22">
        <f>D63+D64</f>
        <v>1041000</v>
      </c>
      <c r="E65" s="22">
        <f>E63+E64</f>
        <v>945000</v>
      </c>
      <c r="F65" s="22">
        <f>F63+F64</f>
        <v>982624</v>
      </c>
    </row>
    <row r="66" spans="2:6" x14ac:dyDescent="0.25">
      <c r="B66" s="27" t="s">
        <v>49</v>
      </c>
      <c r="D66" s="22">
        <v>395000</v>
      </c>
      <c r="E66" s="22">
        <v>395000</v>
      </c>
      <c r="F66" s="55">
        <v>395000</v>
      </c>
    </row>
    <row r="67" spans="2:6" ht="17.25" x14ac:dyDescent="0.4">
      <c r="B67" s="27" t="s">
        <v>50</v>
      </c>
      <c r="D67" s="84">
        <v>179000</v>
      </c>
      <c r="E67" s="84">
        <v>479536</v>
      </c>
      <c r="F67" s="84">
        <f>E67+F47-F30</f>
        <v>421824.27503999975</v>
      </c>
    </row>
    <row r="68" spans="2:6" ht="17.25" x14ac:dyDescent="0.4">
      <c r="B68" s="28" t="s">
        <v>51</v>
      </c>
      <c r="D68" s="84">
        <f>D66+D67</f>
        <v>574000</v>
      </c>
      <c r="E68" s="84">
        <f>E66+E67</f>
        <v>874536</v>
      </c>
      <c r="F68" s="84">
        <f>F66+F67</f>
        <v>816824.27503999975</v>
      </c>
    </row>
    <row r="69" spans="2:6" ht="15.75" thickBot="1" x14ac:dyDescent="0.3">
      <c r="B69" s="29" t="s">
        <v>52</v>
      </c>
      <c r="C69" s="30"/>
      <c r="D69" s="25">
        <f>D65+D68</f>
        <v>1615000</v>
      </c>
      <c r="E69" s="25">
        <f>E65+E68</f>
        <v>1819536</v>
      </c>
      <c r="F69" s="25">
        <f>F65+F68</f>
        <v>1799448.2750399997</v>
      </c>
    </row>
    <row r="70" spans="2:6" ht="3.75" customHeight="1" x14ac:dyDescent="0.25"/>
    <row r="71" spans="2:6" ht="3.75" customHeight="1" thickBot="1" x14ac:dyDescent="0.3"/>
    <row r="72" spans="2:6" ht="15.75" thickBot="1" x14ac:dyDescent="0.3">
      <c r="C72" s="21" t="s">
        <v>129</v>
      </c>
      <c r="F72" s="20">
        <f>F69-F58</f>
        <v>-448399.72496000072</v>
      </c>
    </row>
    <row r="73" spans="2:6" ht="9.75" customHeight="1" thickBot="1" x14ac:dyDescent="0.3">
      <c r="B73" s="30"/>
      <c r="C73" s="30"/>
      <c r="D73" s="25"/>
      <c r="E73" s="25"/>
      <c r="F73" s="25"/>
    </row>
  </sheetData>
  <mergeCells count="3">
    <mergeCell ref="C25:F25"/>
    <mergeCell ref="C35:F35"/>
    <mergeCell ref="B49:F4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7"/>
  <sheetViews>
    <sheetView zoomScale="175" zoomScaleNormal="175" workbookViewId="0">
      <selection activeCell="B8" sqref="B8"/>
    </sheetView>
  </sheetViews>
  <sheetFormatPr defaultRowHeight="15" x14ac:dyDescent="0.25"/>
  <cols>
    <col min="1" max="1" width="3" customWidth="1"/>
    <col min="3" max="3" width="3.7109375" customWidth="1"/>
    <col min="4" max="4" width="3.28515625" customWidth="1"/>
    <col min="5" max="5" width="74.85546875" customWidth="1"/>
    <col min="6" max="6" width="11.42578125" bestFit="1" customWidth="1"/>
    <col min="7" max="7" width="12.140625" bestFit="1" customWidth="1"/>
    <col min="12" max="12" width="9.42578125" bestFit="1" customWidth="1"/>
    <col min="13" max="13" width="11.7109375" customWidth="1"/>
    <col min="14" max="14" width="10.7109375" customWidth="1"/>
  </cols>
  <sheetData>
    <row r="2" spans="2:13" ht="18.75" x14ac:dyDescent="0.25">
      <c r="B2" s="100"/>
      <c r="C2" s="98"/>
      <c r="D2" s="98"/>
      <c r="E2" s="101" t="s">
        <v>182</v>
      </c>
      <c r="F2" s="98"/>
      <c r="G2" s="98"/>
    </row>
    <row r="3" spans="2:13" x14ac:dyDescent="0.25">
      <c r="B3" s="100"/>
      <c r="C3" s="98"/>
      <c r="D3" s="98"/>
      <c r="E3" s="102" t="s">
        <v>183</v>
      </c>
      <c r="F3" s="98"/>
      <c r="G3" s="98"/>
    </row>
    <row r="4" spans="2:13" x14ac:dyDescent="0.25">
      <c r="B4" s="100"/>
      <c r="C4" s="98"/>
      <c r="D4" s="98"/>
      <c r="E4" s="98"/>
      <c r="F4" s="98"/>
      <c r="G4" s="98"/>
    </row>
    <row r="5" spans="2:13" x14ac:dyDescent="0.25">
      <c r="B5" s="100"/>
      <c r="C5" s="98"/>
      <c r="D5" s="98"/>
      <c r="E5" s="99" t="s">
        <v>185</v>
      </c>
      <c r="F5" s="98"/>
      <c r="G5" s="98"/>
    </row>
    <row r="6" spans="2:13" x14ac:dyDescent="0.25">
      <c r="B6" s="98"/>
      <c r="C6" s="98"/>
      <c r="D6" s="98"/>
      <c r="E6" s="99" t="s">
        <v>108</v>
      </c>
      <c r="F6" s="98"/>
      <c r="G6" s="98"/>
    </row>
    <row r="7" spans="2:13" s="107" customFormat="1" ht="15.75" thickBot="1" x14ac:dyDescent="0.3">
      <c r="B7" s="100" t="s">
        <v>184</v>
      </c>
    </row>
    <row r="8" spans="2:13" s="107" customFormat="1" ht="15.75" thickBot="1" x14ac:dyDescent="0.3">
      <c r="B8" s="105" t="s">
        <v>188</v>
      </c>
      <c r="C8" s="106" t="s">
        <v>0</v>
      </c>
      <c r="D8" s="106"/>
      <c r="E8" s="138" t="s">
        <v>187</v>
      </c>
    </row>
    <row r="9" spans="2:13" s="107" customFormat="1" ht="33" customHeight="1" x14ac:dyDescent="0.25">
      <c r="E9" s="138"/>
    </row>
    <row r="10" spans="2:13" s="107" customFormat="1" ht="15.75" thickBot="1" x14ac:dyDescent="0.3">
      <c r="B10" s="100" t="s">
        <v>184</v>
      </c>
    </row>
    <row r="11" spans="2:13" s="107" customFormat="1" ht="15.75" thickBot="1" x14ac:dyDescent="0.3">
      <c r="B11" s="105" t="s">
        <v>188</v>
      </c>
      <c r="C11" s="106" t="s">
        <v>1</v>
      </c>
      <c r="D11" s="106"/>
      <c r="E11" s="138" t="s">
        <v>180</v>
      </c>
      <c r="L11" s="94"/>
      <c r="M11" s="94"/>
    </row>
    <row r="12" spans="2:13" s="107" customFormat="1" ht="30.6" customHeight="1" x14ac:dyDescent="0.25">
      <c r="E12" s="138"/>
      <c r="L12" s="94"/>
      <c r="M12" s="94"/>
    </row>
    <row r="13" spans="2:13" s="107" customFormat="1" ht="15.75" thickBot="1" x14ac:dyDescent="0.3">
      <c r="B13" s="100" t="s">
        <v>184</v>
      </c>
      <c r="L13" s="94"/>
      <c r="M13" s="94"/>
    </row>
    <row r="14" spans="2:13" s="107" customFormat="1" ht="15.75" thickBot="1" x14ac:dyDescent="0.3">
      <c r="B14" s="105" t="s">
        <v>190</v>
      </c>
      <c r="C14" s="106" t="s">
        <v>6</v>
      </c>
      <c r="D14" s="106"/>
      <c r="E14" s="138" t="s">
        <v>189</v>
      </c>
      <c r="L14" s="94"/>
      <c r="M14" s="94"/>
    </row>
    <row r="15" spans="2:13" s="107" customFormat="1" x14ac:dyDescent="0.25">
      <c r="E15" s="138"/>
      <c r="L15" s="94"/>
      <c r="M15" s="94"/>
    </row>
    <row r="16" spans="2:13" s="107" customFormat="1" ht="15.75" thickBot="1" x14ac:dyDescent="0.3">
      <c r="B16" s="100" t="s">
        <v>184</v>
      </c>
      <c r="L16" s="94"/>
      <c r="M16" s="94"/>
    </row>
    <row r="17" spans="2:5" s="107" customFormat="1" ht="15" customHeight="1" thickBot="1" x14ac:dyDescent="0.3">
      <c r="B17" s="105" t="s">
        <v>188</v>
      </c>
      <c r="C17" s="106" t="s">
        <v>7</v>
      </c>
      <c r="D17" s="106"/>
      <c r="E17" s="138" t="s">
        <v>191</v>
      </c>
    </row>
    <row r="18" spans="2:5" s="107" customFormat="1" x14ac:dyDescent="0.25">
      <c r="E18" s="138"/>
    </row>
    <row r="19" spans="2:5" s="107" customFormat="1" ht="15.75" thickBot="1" x14ac:dyDescent="0.3">
      <c r="B19" s="100" t="s">
        <v>184</v>
      </c>
    </row>
    <row r="20" spans="2:5" s="107" customFormat="1" ht="15" customHeight="1" thickBot="1" x14ac:dyDescent="0.3">
      <c r="B20" s="105" t="s">
        <v>190</v>
      </c>
      <c r="C20" s="106" t="s">
        <v>109</v>
      </c>
      <c r="D20" s="106"/>
      <c r="E20" s="138" t="s">
        <v>160</v>
      </c>
    </row>
    <row r="21" spans="2:5" s="107" customFormat="1" x14ac:dyDescent="0.25">
      <c r="E21" s="138"/>
    </row>
    <row r="22" spans="2:5" s="107" customFormat="1" ht="15" customHeight="1" thickBot="1" x14ac:dyDescent="0.3">
      <c r="B22" s="100" t="s">
        <v>186</v>
      </c>
    </row>
    <row r="23" spans="2:5" s="107" customFormat="1" ht="15.75" thickBot="1" x14ac:dyDescent="0.3">
      <c r="B23" s="105" t="s">
        <v>193</v>
      </c>
      <c r="C23" s="106" t="s">
        <v>110</v>
      </c>
      <c r="E23" s="108" t="s">
        <v>192</v>
      </c>
    </row>
    <row r="24" spans="2:5" s="107" customFormat="1" ht="9" customHeight="1" x14ac:dyDescent="0.25">
      <c r="E24" s="108"/>
    </row>
    <row r="25" spans="2:5" s="107" customFormat="1" x14ac:dyDescent="0.25">
      <c r="D25" s="107" t="s">
        <v>111</v>
      </c>
      <c r="E25" s="108" t="s">
        <v>162</v>
      </c>
    </row>
    <row r="26" spans="2:5" s="107" customFormat="1" x14ac:dyDescent="0.25">
      <c r="D26" s="107" t="s">
        <v>112</v>
      </c>
      <c r="E26" s="108" t="s">
        <v>163</v>
      </c>
    </row>
    <row r="27" spans="2:5" s="107" customFormat="1" x14ac:dyDescent="0.25">
      <c r="D27" s="107" t="s">
        <v>113</v>
      </c>
      <c r="E27" s="108" t="s">
        <v>164</v>
      </c>
    </row>
    <row r="28" spans="2:5" s="107" customFormat="1" x14ac:dyDescent="0.25">
      <c r="D28" s="107" t="s">
        <v>114</v>
      </c>
      <c r="E28" s="108" t="s">
        <v>165</v>
      </c>
    </row>
    <row r="29" spans="2:5" s="107" customFormat="1" x14ac:dyDescent="0.25">
      <c r="D29" s="107" t="s">
        <v>115</v>
      </c>
      <c r="E29" s="108" t="s">
        <v>161</v>
      </c>
    </row>
    <row r="30" spans="2:5" s="107" customFormat="1" ht="13.5" customHeight="1" thickBot="1" x14ac:dyDescent="0.3">
      <c r="B30" s="100" t="s">
        <v>186</v>
      </c>
      <c r="E30" s="108"/>
    </row>
    <row r="31" spans="2:5" s="107" customFormat="1" ht="15.75" customHeight="1" thickBot="1" x14ac:dyDescent="0.3">
      <c r="B31" s="105" t="s">
        <v>130</v>
      </c>
      <c r="C31" s="106" t="s">
        <v>116</v>
      </c>
      <c r="E31" s="108" t="s">
        <v>194</v>
      </c>
    </row>
    <row r="32" spans="2:5" s="107" customFormat="1" ht="6" customHeight="1" x14ac:dyDescent="0.25">
      <c r="E32" s="108"/>
    </row>
    <row r="33" spans="2:5" s="107" customFormat="1" x14ac:dyDescent="0.25">
      <c r="D33" s="107" t="s">
        <v>111</v>
      </c>
      <c r="E33" s="108" t="s">
        <v>162</v>
      </c>
    </row>
    <row r="34" spans="2:5" s="107" customFormat="1" x14ac:dyDescent="0.25">
      <c r="D34" s="107" t="s">
        <v>112</v>
      </c>
      <c r="E34" s="108" t="s">
        <v>163</v>
      </c>
    </row>
    <row r="35" spans="2:5" s="107" customFormat="1" x14ac:dyDescent="0.25">
      <c r="D35" s="107" t="s">
        <v>113</v>
      </c>
      <c r="E35" s="108" t="s">
        <v>168</v>
      </c>
    </row>
    <row r="36" spans="2:5" s="107" customFormat="1" x14ac:dyDescent="0.25">
      <c r="D36" s="107" t="s">
        <v>114</v>
      </c>
      <c r="E36" s="108" t="s">
        <v>166</v>
      </c>
    </row>
    <row r="37" spans="2:5" s="107" customFormat="1" x14ac:dyDescent="0.25">
      <c r="D37" s="107" t="s">
        <v>115</v>
      </c>
      <c r="E37" s="108" t="s">
        <v>167</v>
      </c>
    </row>
    <row r="38" spans="2:5" s="107" customFormat="1" ht="15" customHeight="1" thickBot="1" x14ac:dyDescent="0.3">
      <c r="B38" s="100" t="s">
        <v>184</v>
      </c>
      <c r="E38" s="108"/>
    </row>
    <row r="39" spans="2:5" s="107" customFormat="1" ht="15" customHeight="1" thickBot="1" x14ac:dyDescent="0.3">
      <c r="B39" s="105" t="s">
        <v>190</v>
      </c>
      <c r="C39" s="106" t="s">
        <v>117</v>
      </c>
      <c r="D39" s="106"/>
      <c r="E39" s="138" t="s">
        <v>196</v>
      </c>
    </row>
    <row r="40" spans="2:5" s="107" customFormat="1" x14ac:dyDescent="0.25">
      <c r="E40" s="138"/>
    </row>
    <row r="41" spans="2:5" s="107" customFormat="1" ht="15" customHeight="1" thickBot="1" x14ac:dyDescent="0.3">
      <c r="B41" s="100" t="s">
        <v>184</v>
      </c>
      <c r="E41" s="108"/>
    </row>
    <row r="42" spans="2:5" s="107" customFormat="1" ht="15" customHeight="1" thickBot="1" x14ac:dyDescent="0.3">
      <c r="B42" s="105" t="s">
        <v>188</v>
      </c>
      <c r="C42" s="106" t="s">
        <v>118</v>
      </c>
      <c r="D42" s="106"/>
      <c r="E42" s="138" t="s">
        <v>195</v>
      </c>
    </row>
    <row r="43" spans="2:5" s="107" customFormat="1" x14ac:dyDescent="0.25">
      <c r="E43" s="138"/>
    </row>
    <row r="44" spans="2:5" s="107" customFormat="1" ht="15.75" customHeight="1" thickBot="1" x14ac:dyDescent="0.3">
      <c r="B44" s="100" t="s">
        <v>184</v>
      </c>
      <c r="E44" s="108"/>
    </row>
    <row r="45" spans="2:5" s="107" customFormat="1" ht="15" customHeight="1" thickBot="1" x14ac:dyDescent="0.3">
      <c r="B45" s="105" t="s">
        <v>188</v>
      </c>
      <c r="C45" s="106" t="s">
        <v>119</v>
      </c>
      <c r="D45" s="106"/>
      <c r="E45" s="138" t="s">
        <v>169</v>
      </c>
    </row>
    <row r="46" spans="2:5" s="107" customFormat="1" x14ac:dyDescent="0.25">
      <c r="E46" s="138"/>
    </row>
    <row r="47" spans="2:5" s="107" customFormat="1" ht="15.75" customHeight="1" thickBot="1" x14ac:dyDescent="0.3">
      <c r="B47" s="100" t="s">
        <v>184</v>
      </c>
      <c r="E47" s="108"/>
    </row>
    <row r="48" spans="2:5" s="107" customFormat="1" ht="15" customHeight="1" thickBot="1" x14ac:dyDescent="0.3">
      <c r="B48" s="105" t="s">
        <v>188</v>
      </c>
      <c r="C48" s="106" t="s">
        <v>170</v>
      </c>
      <c r="D48" s="106"/>
      <c r="E48" s="138" t="s">
        <v>197</v>
      </c>
    </row>
    <row r="49" spans="1:8" s="107" customFormat="1" x14ac:dyDescent="0.25">
      <c r="E49" s="138"/>
    </row>
    <row r="50" spans="1:8" s="107" customFormat="1" ht="14.25" customHeight="1" thickBot="1" x14ac:dyDescent="0.3">
      <c r="B50" s="100" t="s">
        <v>184</v>
      </c>
      <c r="E50" s="108"/>
    </row>
    <row r="51" spans="1:8" s="107" customFormat="1" ht="15" customHeight="1" thickBot="1" x14ac:dyDescent="0.3">
      <c r="B51" s="105" t="s">
        <v>190</v>
      </c>
      <c r="C51" s="106" t="s">
        <v>172</v>
      </c>
      <c r="D51" s="106"/>
      <c r="E51" s="138" t="s">
        <v>171</v>
      </c>
    </row>
    <row r="52" spans="1:8" s="107" customFormat="1" x14ac:dyDescent="0.25">
      <c r="E52" s="138"/>
    </row>
    <row r="53" spans="1:8" s="107" customFormat="1" ht="15.75" thickBot="1" x14ac:dyDescent="0.3">
      <c r="B53" s="100" t="s">
        <v>186</v>
      </c>
      <c r="E53" s="121"/>
    </row>
    <row r="54" spans="1:8" s="107" customFormat="1" ht="15.75" thickBot="1" x14ac:dyDescent="0.3">
      <c r="B54" s="105" t="s">
        <v>130</v>
      </c>
      <c r="C54" s="106" t="s">
        <v>181</v>
      </c>
      <c r="D54" s="106"/>
      <c r="E54" s="138" t="s">
        <v>120</v>
      </c>
    </row>
    <row r="55" spans="1:8" s="107" customFormat="1" ht="36.75" customHeight="1" x14ac:dyDescent="0.25">
      <c r="E55" s="138"/>
    </row>
    <row r="56" spans="1:8" s="107" customFormat="1" x14ac:dyDescent="0.25">
      <c r="D56" s="107" t="s">
        <v>111</v>
      </c>
      <c r="E56" s="107" t="s">
        <v>121</v>
      </c>
    </row>
    <row r="57" spans="1:8" s="107" customFormat="1" x14ac:dyDescent="0.25">
      <c r="D57" s="107" t="s">
        <v>112</v>
      </c>
      <c r="E57" s="107" t="s">
        <v>122</v>
      </c>
    </row>
    <row r="58" spans="1:8" s="107" customFormat="1" x14ac:dyDescent="0.25">
      <c r="D58" s="107" t="s">
        <v>113</v>
      </c>
      <c r="E58" s="107" t="s">
        <v>173</v>
      </c>
    </row>
    <row r="59" spans="1:8" s="107" customFormat="1" x14ac:dyDescent="0.25">
      <c r="D59" s="107" t="s">
        <v>114</v>
      </c>
      <c r="E59" s="107" t="s">
        <v>23</v>
      </c>
    </row>
    <row r="60" spans="1:8" s="107" customFormat="1" x14ac:dyDescent="0.25">
      <c r="D60" s="107" t="s">
        <v>115</v>
      </c>
      <c r="E60" s="107" t="s">
        <v>123</v>
      </c>
    </row>
    <row r="61" spans="1:8" s="107" customFormat="1" ht="15.75" thickBot="1" x14ac:dyDescent="0.3"/>
    <row r="62" spans="1:8" ht="15.75" thickBot="1" x14ac:dyDescent="0.3">
      <c r="A62" s="139"/>
      <c r="B62" s="140"/>
      <c r="C62" s="140"/>
      <c r="D62" s="140"/>
      <c r="E62" s="140"/>
      <c r="F62" s="140"/>
      <c r="G62" s="140"/>
      <c r="H62" s="141"/>
    </row>
    <row r="64" spans="1:8" x14ac:dyDescent="0.25">
      <c r="C64" s="98"/>
      <c r="D64" s="98"/>
      <c r="E64" s="98"/>
      <c r="F64" s="98"/>
      <c r="G64" s="98"/>
      <c r="H64" s="98"/>
    </row>
    <row r="65" spans="2:8" x14ac:dyDescent="0.25">
      <c r="C65" s="98"/>
      <c r="D65" s="98"/>
      <c r="E65" s="98"/>
      <c r="F65" s="98"/>
      <c r="G65" s="98"/>
      <c r="H65" s="98"/>
    </row>
    <row r="66" spans="2:8" x14ac:dyDescent="0.25">
      <c r="C66" s="98"/>
      <c r="D66" s="98"/>
      <c r="E66" s="98"/>
      <c r="F66" s="98"/>
      <c r="G66" s="98"/>
      <c r="H66" s="98"/>
    </row>
    <row r="67" spans="2:8" x14ac:dyDescent="0.25">
      <c r="C67" s="98"/>
      <c r="D67" s="98"/>
      <c r="E67" s="98"/>
      <c r="F67" s="98"/>
      <c r="G67" s="98"/>
      <c r="H67" s="98"/>
    </row>
    <row r="68" spans="2:8" x14ac:dyDescent="0.25">
      <c r="C68" s="98"/>
      <c r="D68" s="98"/>
      <c r="E68" s="98"/>
      <c r="F68" s="98"/>
      <c r="G68" s="98"/>
      <c r="H68" s="98"/>
    </row>
    <row r="69" spans="2:8" x14ac:dyDescent="0.25">
      <c r="C69" s="98"/>
      <c r="D69" s="98"/>
      <c r="E69" s="98"/>
      <c r="F69" s="98"/>
      <c r="G69" s="98"/>
      <c r="H69" s="98"/>
    </row>
    <row r="70" spans="2:8" x14ac:dyDescent="0.25">
      <c r="C70" s="98"/>
      <c r="D70" s="98"/>
      <c r="E70" s="98"/>
      <c r="F70" s="98"/>
      <c r="G70" s="98"/>
      <c r="H70" s="98"/>
    </row>
    <row r="71" spans="2:8" x14ac:dyDescent="0.25">
      <c r="C71" s="98"/>
      <c r="D71" s="98"/>
      <c r="E71" s="98"/>
      <c r="F71" s="98"/>
      <c r="G71" s="98"/>
      <c r="H71" s="98"/>
    </row>
    <row r="72" spans="2:8" x14ac:dyDescent="0.25">
      <c r="C72" s="98"/>
      <c r="D72" s="98"/>
      <c r="E72" s="98"/>
      <c r="F72" s="98"/>
      <c r="G72" s="98"/>
      <c r="H72" s="98"/>
    </row>
    <row r="73" spans="2:8" x14ac:dyDescent="0.25">
      <c r="C73" s="98"/>
      <c r="D73" s="98"/>
      <c r="E73" s="98"/>
      <c r="F73" s="98"/>
      <c r="G73" s="98"/>
      <c r="H73" s="98"/>
    </row>
    <row r="77" spans="2:8" x14ac:dyDescent="0.25">
      <c r="B77" s="119"/>
    </row>
  </sheetData>
  <mergeCells count="12">
    <mergeCell ref="E8:E9"/>
    <mergeCell ref="E11:E12"/>
    <mergeCell ref="E14:E15"/>
    <mergeCell ref="A62:H62"/>
    <mergeCell ref="E17:E18"/>
    <mergeCell ref="E20:E21"/>
    <mergeCell ref="E39:E40"/>
    <mergeCell ref="E42:E43"/>
    <mergeCell ref="E45:E46"/>
    <mergeCell ref="E48:E49"/>
    <mergeCell ref="E51:E52"/>
    <mergeCell ref="E54:E5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G11" sqref="G11"/>
    </sheetView>
  </sheetViews>
  <sheetFormatPr defaultRowHeight="15" x14ac:dyDescent="0.25"/>
  <sheetData>
    <row r="2" spans="2:3" ht="15.75" thickBot="1" x14ac:dyDescent="0.3"/>
    <row r="3" spans="2:3" ht="27" customHeight="1" thickBot="1" x14ac:dyDescent="0.3">
      <c r="B3" s="130" t="s">
        <v>198</v>
      </c>
      <c r="C3" s="131" t="s">
        <v>199</v>
      </c>
    </row>
    <row r="4" spans="2:3" ht="23.25" x14ac:dyDescent="0.35">
      <c r="B4" s="127">
        <v>1</v>
      </c>
      <c r="C4" s="124" t="str">
        <f>'MC-TF - 20 Pts'!B8</f>
        <v>T</v>
      </c>
    </row>
    <row r="5" spans="2:3" ht="23.25" x14ac:dyDescent="0.35">
      <c r="B5" s="128">
        <v>2</v>
      </c>
      <c r="C5" s="125" t="str">
        <f>'MC-TF - 20 Pts'!B11</f>
        <v>T</v>
      </c>
    </row>
    <row r="6" spans="2:3" ht="23.25" x14ac:dyDescent="0.35">
      <c r="B6" s="128">
        <v>3</v>
      </c>
      <c r="C6" s="125" t="str">
        <f>'MC-TF - 20 Pts'!B14</f>
        <v>F</v>
      </c>
    </row>
    <row r="7" spans="2:3" ht="24" thickBot="1" x14ac:dyDescent="0.4">
      <c r="B7" s="129">
        <v>4</v>
      </c>
      <c r="C7" s="126" t="str">
        <f>'MC-TF - 20 Pts'!B17</f>
        <v>T</v>
      </c>
    </row>
    <row r="8" spans="2:3" ht="23.25" x14ac:dyDescent="0.35">
      <c r="B8" s="128">
        <v>5</v>
      </c>
      <c r="C8" s="125" t="str">
        <f>'MC-TF - 20 Pts'!B20</f>
        <v>F</v>
      </c>
    </row>
    <row r="9" spans="2:3" ht="23.25" x14ac:dyDescent="0.35">
      <c r="B9" s="128">
        <v>6</v>
      </c>
      <c r="C9" s="125" t="str">
        <f>'MC-TF - 20 Pts'!B23</f>
        <v>A</v>
      </c>
    </row>
    <row r="10" spans="2:3" ht="23.25" x14ac:dyDescent="0.35">
      <c r="B10" s="128">
        <v>7</v>
      </c>
      <c r="C10" s="125" t="str">
        <f>'MC-TF - 20 Pts'!B31</f>
        <v>C</v>
      </c>
    </row>
    <row r="11" spans="2:3" ht="24" thickBot="1" x14ac:dyDescent="0.4">
      <c r="B11" s="128">
        <v>8</v>
      </c>
      <c r="C11" s="125" t="str">
        <f>'MC-TF - 20 Pts'!B39</f>
        <v>F</v>
      </c>
    </row>
    <row r="12" spans="2:3" ht="23.25" x14ac:dyDescent="0.35">
      <c r="B12" s="127">
        <v>9</v>
      </c>
      <c r="C12" s="124" t="str">
        <f>'MC-TF - 20 Pts'!B42</f>
        <v>T</v>
      </c>
    </row>
    <row r="13" spans="2:3" ht="23.25" x14ac:dyDescent="0.35">
      <c r="B13" s="128">
        <v>10</v>
      </c>
      <c r="C13" s="125" t="str">
        <f>'MC-TF - 20 Pts'!B45</f>
        <v>T</v>
      </c>
    </row>
    <row r="14" spans="2:3" ht="23.25" x14ac:dyDescent="0.35">
      <c r="B14" s="128">
        <v>11</v>
      </c>
      <c r="C14" s="125" t="str">
        <f>'MC-TF - 20 Pts'!B48</f>
        <v>T</v>
      </c>
    </row>
    <row r="15" spans="2:3" ht="23.25" x14ac:dyDescent="0.35">
      <c r="B15" s="128">
        <v>12</v>
      </c>
      <c r="C15" s="125" t="str">
        <f>'MC-TF - 20 Pts'!B51</f>
        <v>F</v>
      </c>
    </row>
    <row r="16" spans="2:3" ht="24" thickBot="1" x14ac:dyDescent="0.4">
      <c r="B16" s="129">
        <v>13</v>
      </c>
      <c r="C16" s="126" t="str">
        <f>'MC-TF - 20 Pts'!B54</f>
        <v>C</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P1 - 30 Pts</vt:lpstr>
      <vt:lpstr>P2 - 5 Pts</vt:lpstr>
      <vt:lpstr>P3 - 10 Pts</vt:lpstr>
      <vt:lpstr>P4 - 15 Pts</vt:lpstr>
      <vt:lpstr>P5 - 20 Pts</vt:lpstr>
      <vt:lpstr>MC-TF - 20 Pts</vt:lpstr>
      <vt:lpstr>Sheet1</vt:lpstr>
      <vt:lpstr>'P4 - 15 Pts'!OLE_LINK1</vt:lpstr>
      <vt:lpstr>Periods</vt:lpstr>
      <vt:lpstr>Rate</vt:lpstr>
      <vt:lpstr>Term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2010-04-05T16:12:33Z</cp:lastPrinted>
  <dcterms:created xsi:type="dcterms:W3CDTF">2010-01-13T00:10:02Z</dcterms:created>
  <dcterms:modified xsi:type="dcterms:W3CDTF">2014-03-29T17:49:02Z</dcterms:modified>
</cp:coreProperties>
</file>