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defaultThemeVersion="124226"/>
  <mc:AlternateContent xmlns:mc="http://schemas.openxmlformats.org/markup-compatibility/2006">
    <mc:Choice Requires="x15">
      <x15ac:absPath xmlns:x15ac="http://schemas.microsoft.com/office/spreadsheetml/2010/11/ac" url="C:\Users\dhawley\Dropbox\Class\Spring 2017\Exam 2\"/>
    </mc:Choice>
  </mc:AlternateContent>
  <bookViews>
    <workbookView xWindow="11250" yWindow="90" windowWidth="20130" windowHeight="7980" tabRatio="681"/>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Rate">'P1 - 20 Pts'!$F$23</definedName>
    <definedName name="Term">'P1 - 20 Pts'!$F$22</definedName>
  </definedNames>
  <calcPr calcId="171027"/>
</workbook>
</file>

<file path=xl/calcChain.xml><?xml version="1.0" encoding="utf-8"?>
<calcChain xmlns="http://schemas.openxmlformats.org/spreadsheetml/2006/main">
  <c r="E51" i="16" l="1"/>
  <c r="D51" i="16"/>
  <c r="E85" i="1"/>
  <c r="E72" i="1"/>
  <c r="E73" i="1" s="1"/>
  <c r="E74" i="1" s="1"/>
  <c r="E75" i="1" s="1"/>
  <c r="H29" i="11"/>
  <c r="H28" i="11"/>
  <c r="H26" i="11"/>
  <c r="H23" i="11"/>
  <c r="H21" i="11"/>
  <c r="H20" i="11"/>
  <c r="E56" i="16" l="1"/>
  <c r="D108" i="1"/>
  <c r="D34" i="1"/>
  <c r="E21" i="1"/>
  <c r="H27" i="11"/>
  <c r="H22" i="11"/>
  <c r="F42" i="16" l="1"/>
  <c r="F55" i="16"/>
  <c r="D68" i="16" l="1"/>
  <c r="E63" i="16"/>
  <c r="E65" i="16" s="1"/>
  <c r="D63" i="16"/>
  <c r="D65" i="16" s="1"/>
  <c r="I60" i="16"/>
  <c r="H60" i="16"/>
  <c r="J60" i="16" s="1"/>
  <c r="D57" i="16"/>
  <c r="F56" i="16"/>
  <c r="E54" i="16"/>
  <c r="D54" i="16"/>
  <c r="I53" i="16"/>
  <c r="H53" i="16"/>
  <c r="J53" i="16" s="1"/>
  <c r="I52" i="16"/>
  <c r="H52" i="16"/>
  <c r="J52" i="16" s="1"/>
  <c r="F44" i="16"/>
  <c r="I40" i="16"/>
  <c r="J40" i="16" s="1"/>
  <c r="H40" i="16"/>
  <c r="E39" i="16"/>
  <c r="E43" i="16" s="1"/>
  <c r="E45" i="16" s="1"/>
  <c r="D39" i="16"/>
  <c r="D43" i="16" s="1"/>
  <c r="D45" i="16" s="1"/>
  <c r="D46" i="16" s="1"/>
  <c r="D47" i="16" s="1"/>
  <c r="I38" i="16"/>
  <c r="H38" i="16"/>
  <c r="F37" i="16"/>
  <c r="D69" i="16" l="1"/>
  <c r="D58" i="16"/>
  <c r="J38" i="16"/>
  <c r="F38" i="16" s="1"/>
  <c r="F39" i="16" s="1"/>
  <c r="E57" i="16"/>
  <c r="E58" i="16" s="1"/>
  <c r="F57" i="16"/>
  <c r="F60" i="16"/>
  <c r="F63" i="16" s="1"/>
  <c r="F65" i="16" s="1"/>
  <c r="E46" i="16"/>
  <c r="E47" i="16" s="1"/>
  <c r="E67" i="16" s="1"/>
  <c r="F40" i="16"/>
  <c r="F52" i="16"/>
  <c r="F53" i="16"/>
  <c r="F54" i="16" l="1"/>
  <c r="F58" i="16" s="1"/>
  <c r="F43" i="16"/>
  <c r="F45" i="16" s="1"/>
  <c r="F46" i="16" s="1"/>
  <c r="E68" i="16"/>
  <c r="E69" i="16" s="1"/>
  <c r="F47" i="16" l="1"/>
  <c r="F67" i="16" s="1"/>
  <c r="F68" i="16" s="1"/>
  <c r="F69" i="16" s="1"/>
  <c r="F72" i="16" s="1"/>
  <c r="O19" i="11" l="1"/>
  <c r="B94" i="15"/>
  <c r="B93" i="15"/>
  <c r="B92" i="15"/>
  <c r="B91" i="15"/>
  <c r="B90" i="15"/>
  <c r="B89" i="15"/>
  <c r="B88" i="15"/>
  <c r="B87" i="15"/>
  <c r="B86" i="15"/>
  <c r="B85" i="15"/>
  <c r="B84" i="15"/>
  <c r="B83" i="15"/>
  <c r="B82" i="15"/>
  <c r="B81" i="15"/>
  <c r="B80" i="15"/>
  <c r="I20" i="14"/>
  <c r="E22" i="1"/>
  <c r="E23" i="1" s="1"/>
  <c r="E24" i="1" s="1"/>
  <c r="E25" i="1" s="1"/>
  <c r="F46" i="1"/>
  <c r="F45" i="1"/>
  <c r="F44" i="1"/>
  <c r="F43" i="1"/>
  <c r="P18" i="11"/>
  <c r="G19" i="10"/>
  <c r="G30" i="2"/>
  <c r="O21" i="2"/>
  <c r="D85" i="2" l="1"/>
  <c r="D31" i="2"/>
  <c r="D61" i="2" s="1"/>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E83" i="2"/>
  <c r="G69" i="2"/>
  <c r="F89" i="2"/>
  <c r="G86" i="2"/>
  <c r="E84" i="2"/>
  <c r="F81" i="2"/>
  <c r="G78" i="2"/>
  <c r="E76" i="2"/>
  <c r="F73" i="2"/>
  <c r="G70" i="2"/>
  <c r="E68" i="2"/>
  <c r="D71" i="2"/>
  <c r="D67" i="2"/>
  <c r="D51" i="2" l="1"/>
  <c r="D41" i="2"/>
  <c r="D33" i="2"/>
  <c r="D42" i="2"/>
  <c r="D50" i="2"/>
  <c r="D60" i="2"/>
  <c r="D38" i="2"/>
  <c r="D39" i="2"/>
  <c r="D37" i="2"/>
  <c r="D62" i="2"/>
  <c r="D44" i="2"/>
  <c r="D58" i="2"/>
  <c r="D55" i="2"/>
  <c r="D49" i="2"/>
  <c r="D56" i="2"/>
  <c r="D43" i="2"/>
  <c r="D34" i="2"/>
  <c r="D66" i="2"/>
  <c r="D53" i="2"/>
  <c r="D40" i="2"/>
  <c r="D48" i="2"/>
  <c r="D63" i="2"/>
  <c r="D46" i="2"/>
  <c r="D65" i="2"/>
  <c r="D45" i="2"/>
  <c r="D32" i="2"/>
  <c r="D64" i="2"/>
  <c r="D54" i="2"/>
  <c r="D47" i="2"/>
  <c r="D52" i="2"/>
  <c r="D59" i="2"/>
  <c r="D36" i="2"/>
  <c r="D57" i="2"/>
  <c r="P20" i="11"/>
  <c r="F31" i="2"/>
  <c r="G31" i="2" s="1"/>
  <c r="E32" i="2" s="1"/>
  <c r="F32" i="2" s="1"/>
  <c r="G32" i="2" s="1"/>
  <c r="I28" i="14"/>
  <c r="O21" i="11"/>
  <c r="H22" i="2"/>
  <c r="D35" i="2"/>
  <c r="P21" i="11" l="1"/>
  <c r="I21" i="14"/>
  <c r="I29" i="14"/>
  <c r="O22" i="11"/>
  <c r="E33" i="2"/>
  <c r="F33" i="2" s="1"/>
  <c r="G33" i="2" s="1"/>
  <c r="P22" i="11" l="1"/>
  <c r="I22" i="14"/>
  <c r="I30" i="14"/>
  <c r="I23" i="14" s="1"/>
  <c r="O23" i="11"/>
  <c r="E34" i="2"/>
  <c r="F34" i="2" s="1"/>
  <c r="G34" i="2" s="1"/>
  <c r="P23" i="11" l="1"/>
  <c r="O24" i="11"/>
  <c r="E35" i="2"/>
  <c r="F35" i="2" s="1"/>
  <c r="G35" i="2" s="1"/>
  <c r="P24" i="11" l="1"/>
  <c r="O25" i="11"/>
  <c r="E36" i="2"/>
  <c r="F36" i="2" s="1"/>
  <c r="G36" i="2" s="1"/>
  <c r="P25" i="11" l="1"/>
  <c r="O26" i="11"/>
  <c r="E37" i="2"/>
  <c r="F37" i="2" s="1"/>
  <c r="G37" i="2" s="1"/>
  <c r="P26" i="11" l="1"/>
  <c r="O27" i="11"/>
  <c r="E38" i="2"/>
  <c r="F38" i="2" s="1"/>
  <c r="G38" i="2" s="1"/>
  <c r="P27" i="11" l="1"/>
  <c r="O28" i="11"/>
  <c r="E39" i="2"/>
  <c r="F39" i="2" s="1"/>
  <c r="G39" i="2" s="1"/>
  <c r="P28" i="11" l="1"/>
  <c r="O29" i="11"/>
  <c r="E40" i="2"/>
  <c r="F40" i="2" s="1"/>
  <c r="G40" i="2" s="1"/>
  <c r="P29" i="11" l="1"/>
  <c r="O30" i="11"/>
  <c r="E41" i="2"/>
  <c r="F41" i="2" s="1"/>
  <c r="G41" i="2" s="1"/>
  <c r="P30" i="11" l="1"/>
  <c r="O31" i="11"/>
  <c r="E42" i="2"/>
  <c r="F42" i="2" s="1"/>
  <c r="G42" i="2" s="1"/>
  <c r="P31" i="11" l="1"/>
  <c r="O32" i="11"/>
  <c r="E43" i="2"/>
  <c r="F43" i="2" s="1"/>
  <c r="G43" i="2" s="1"/>
  <c r="P32" i="11" l="1"/>
  <c r="O33" i="11"/>
  <c r="E44" i="2"/>
  <c r="F44" i="2" s="1"/>
  <c r="G44" i="2" s="1"/>
  <c r="P33" i="11" l="1"/>
  <c r="O34" i="11"/>
  <c r="P34" i="11" s="1"/>
  <c r="E45" i="2"/>
  <c r="F45" i="2" s="1"/>
  <c r="G45" i="2" s="1"/>
  <c r="O35" i="11" l="1"/>
  <c r="P35" i="11" s="1"/>
  <c r="E46" i="2"/>
  <c r="F46" i="2" s="1"/>
  <c r="G46" i="2" s="1"/>
  <c r="O36" i="11" l="1"/>
  <c r="P36" i="11" s="1"/>
  <c r="E47" i="2"/>
  <c r="F47" i="2" s="1"/>
  <c r="G47" i="2" s="1"/>
  <c r="O37" i="11" l="1"/>
  <c r="P37" i="11" s="1"/>
  <c r="E48" i="2"/>
  <c r="F48" i="2" s="1"/>
  <c r="G48" i="2" s="1"/>
  <c r="O38" i="11" l="1"/>
  <c r="P38" i="11" s="1"/>
  <c r="E49" i="2"/>
  <c r="F49" i="2" s="1"/>
  <c r="G49" i="2" s="1"/>
  <c r="O39" i="11" l="1"/>
  <c r="P39" i="11" s="1"/>
  <c r="E50" i="2"/>
  <c r="F50" i="2" s="1"/>
  <c r="G50" i="2" s="1"/>
  <c r="O40" i="11" l="1"/>
  <c r="P40" i="11" s="1"/>
  <c r="E51" i="2"/>
  <c r="F51" i="2" s="1"/>
  <c r="G51" i="2" s="1"/>
  <c r="O41" i="11" l="1"/>
  <c r="P41" i="11" s="1"/>
  <c r="E52" i="2"/>
  <c r="F52" i="2" s="1"/>
  <c r="G52" i="2" s="1"/>
  <c r="P42" i="11" l="1"/>
  <c r="E53" i="2"/>
  <c r="F53" i="2" s="1"/>
  <c r="G53" i="2" s="1"/>
  <c r="P43" i="11" l="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E54" i="2"/>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<sst xmlns="http://schemas.openxmlformats.org/spreadsheetml/2006/main" count="362" uniqueCount="305">
  <si>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</si>
  <si>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</si>
  <si>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</si>
  <si>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</si>
  <si>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</si>
  <si>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</si>
  <si>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</si>
  <si>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</si>
  <si>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</si>
  <si>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</si>
  <si>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</si>
  <si>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</si>
  <si>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</si>
  <si>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</si>
  <si>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</si>
  <si>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</si>
  <si>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</si>
  <si>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</si>
  <si>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</si>
  <si>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</si>
  <si>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</si>
  <si>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</si>
  <si>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</si>
  <si>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</si>
  <si>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</si>
  <si>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</si>
  <si>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</si>
  <si>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</si>
  <si>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</si>
  <si>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</si>
  <si>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</si>
  <si>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</si>
  <si>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</si>
  <si>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</si>
  <si>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</si>
  <si>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</si>
  <si>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</si>
  <si>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</si>
  <si>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</si>
  <si>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</si>
  <si>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</si>
  <si>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</si>
  <si>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</si>
  <si>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</si>
  <si>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</si>
  <si>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</si>
  <si>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</si>
  <si>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</si>
  <si>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</si>
  <si>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</si>
  <si>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</si>
  <si>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</si>
  <si>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</si>
  <si>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</si>
  <si>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</si>
  <si>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</si>
  <si>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</si>
  <si>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</si>
  <si>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</si>
  <si>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</si>
  <si>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</si>
  <si>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</si>
  <si>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</si>
  <si>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</si>
  <si>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</si>
  <si>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</si>
  <si>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</si>
  <si>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</si>
  <si>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</si>
  <si>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</si>
  <si>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</si>
  <si>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</si>
  <si>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</si>
  <si>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</si>
  <si>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</si>
  <si>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</si>
  <si>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</si>
  <si>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</si>
  <si>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</si>
  <si>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</si>
  <si>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</si>
  <si>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</si>
  <si>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</si>
  <si>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</si>
  <si>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</si>
  <si>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</si>
  <si>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</si>
  <si>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</si>
  <si>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</si>
  <si>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</si>
  <si>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</si>
  <si>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</si>
  <si>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</si>
  <si>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</si>
  <si>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</si>
  <si>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</si>
  <si>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</si>
  <si>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</si>
  <si>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</si>
  <si>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</si>
  <si>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</si>
  <si>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</si>
  <si>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</si>
  <si>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</si>
  <si>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</si>
  <si>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</si>
  <si>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</si>
  <si>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</si>
  <si>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</si>
  <si>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</si>
  <si>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</si>
  <si>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</si>
  <si>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</si>
  <si>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</si>
  <si>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</si>
  <si>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</si>
  <si>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</si>
  <si>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</si>
  <si>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</si>
  <si>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</si>
  <si>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</si>
  <si>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</si>
  <si>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</si>
  <si>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</si>
  <si>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</si>
  <si>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</si>
  <si>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</si>
  <si>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</si>
  <si>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</si>
  <si>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</si>
  <si>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</si>
  <si>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</si>
  <si>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</si>
  <si>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</si>
  <si>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</si>
  <si>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</si>
  <si>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</si>
  <si>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</si>
  <si>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</si>
  <si>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</si>
  <si>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</si>
  <si>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</si>
  <si>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</si>
  <si>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</si>
  <si>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</si>
  <si>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</si>
  <si>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</si>
  <si>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</si>
  <si>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</si>
  <si>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</si>
  <si>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</si>
  <si>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</si>
  <si>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</si>
  <si>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</si>
  <si>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</si>
  <si>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</si>
  <si>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</si>
  <si>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</si>
  <si>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</si>
  <si>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</si>
  <si>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</si>
  <si>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</si>
  <si>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</si>
  <si>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</si>
  <si>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</si>
  <si>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</si>
  <si>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</si>
  <si>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</si>
  <si>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</si>
  <si>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</si>
  <si>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</si>
  <si>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</si>
  <si>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</si>
  <si>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</si>
  <si>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</si>
  <si>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</si>
  <si>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</si>
  <si>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</si>
  <si>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</si>
  <si>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</si>
  <si>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</si>
  <si>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</si>
  <si>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</si>
  <si>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</si>
  <si>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</si>
  <si>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</si>
  <si>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</si>
  <si>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</si>
  <si>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</si>
  <si>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</si>
  <si>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</si>
  <si>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</si>
  <si>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</si>
  <si>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</si>
  <si>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</si>
  <si>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</si>
  <si>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</si>
  <si>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</si>
  <si>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</si>
  <si>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</si>
  <si>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</si>
  <si>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</si>
  <si>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</si>
  <si>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</si>
  <si>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</si>
  <si>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</si>
  <si>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</si>
  <si>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</si>
  <si>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</si>
  <si>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</si>
  <si>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</si>
  <si>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</si>
  <si>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</si>
  <si>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</si>
  <si>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</si>
  <si>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</si>
  <si>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</si>
  <si>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</si>
  <si>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</si>
  <si>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</si>
  <si>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</si>
  <si>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</si>
  <si>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</si>
  <si>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</si>
  <si>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</si>
  <si>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</si>
  <si>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</si>
  <si>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</si>
  <si>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</si>
  <si>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</si>
  <si>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</si>
  <si>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</si>
  <si>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</si>
  <si>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There are 8 tabbed pages in this exam spreadsheet including this one.</t>
  </si>
  <si>
    <t>Expected inflation increases</t>
  </si>
  <si>
    <t>More than one of the above</t>
  </si>
  <si>
    <t>11.</t>
  </si>
  <si>
    <t>12.</t>
  </si>
  <si>
    <t>13.</t>
  </si>
  <si>
    <t>14.</t>
  </si>
  <si>
    <t>15.</t>
  </si>
  <si>
    <t>Your formulas should work for any reasonable value of the input. [3 Points]</t>
  </si>
  <si>
    <t>$X</t>
  </si>
  <si>
    <t>given in the input cell. [2 Points]</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</si>
  <si>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</si>
  <si>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</si>
  <si>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</si>
  <si>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</si>
  <si>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</si>
  <si>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</si>
  <si>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</si>
  <si>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</si>
  <si>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</si>
  <si>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</si>
  <si>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</si>
  <si>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You plan to make annual deposits into your retirement account on January 1 of every year from 2017</t>
  </si>
  <si>
    <t>Withdrawal 26</t>
  </si>
  <si>
    <t>Withdrawal 27</t>
  </si>
  <si>
    <t>Withdrawal 28</t>
  </si>
  <si>
    <t>Withdrawal 29</t>
  </si>
  <si>
    <t>Withdrawal 30</t>
  </si>
  <si>
    <t>Amount needed on 1/1/2046</t>
  </si>
  <si>
    <t>OR</t>
  </si>
  <si>
    <t>#4</t>
  </si>
  <si>
    <t xml:space="preserve">for the first three years, but then will pay an equal amount each year for 6 years, and then </t>
  </si>
  <si>
    <t xml:space="preserve">if the discount rate is 8% per year compounded annually. The three missing cash flows, </t>
  </si>
  <si>
    <t xml:space="preserve">Problem 5 for the years 2006 to 2016, and that includes a linear trendline that </t>
  </si>
  <si>
    <t>projects estimated sales through 2020.  The x-axis should list the individual years</t>
  </si>
  <si>
    <t>Common Stock Dividend for 2016</t>
  </si>
  <si>
    <t>In a world with no risk and no inflation, rational investors would require the "real" rate of interest to lend their money to someone else for a period of time.  (True or False?)</t>
  </si>
  <si>
    <t>Long-Term Debt</t>
  </si>
  <si>
    <t>The height or y-intercept of the security market line (SML) will increase when</t>
  </si>
  <si>
    <t>More than one of the above is correct</t>
  </si>
  <si>
    <t>-2 Points for each incorrect or omitted answer.</t>
  </si>
  <si>
    <t>your retirement account to pay out $175,000 per year for 30 years starting on January 1, 2047.</t>
  </si>
  <si>
    <t>PV of above on 01/01/2017</t>
  </si>
  <si>
    <t>Amount needed on 1/1/2047</t>
  </si>
  <si>
    <t>Amount of each of the 23 regular payments that</t>
  </si>
  <si>
    <t xml:space="preserve">to 2040 (24 deposits). The first deposit will be $25,000. The remaining 23 deposits will all be equal to each other, </t>
  </si>
  <si>
    <t>Value of unknowns at t=4</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</si>
  <si>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</si>
  <si>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in the formulas but the formulas must be shown. [5 Points]</t>
  </si>
  <si>
    <t xml:space="preserve">the CGS from the table at the right for the year </t>
  </si>
  <si>
    <t xml:space="preserve"> and begin with 2006 and end with 2020. The y-axis should be sales in dollars. [6 Points]</t>
  </si>
  <si>
    <t>11 years of sales and uses it to estimate 2017 sales. [2 Points]</t>
  </si>
  <si>
    <t>Percent Change in Sales from 2016</t>
  </si>
  <si>
    <t>Tax Rate for 2017</t>
  </si>
  <si>
    <t>Expected addition to Plant and Equipment in 2017</t>
  </si>
  <si>
    <t>Additional depreciation on new Plant/Equip in 2017</t>
  </si>
  <si>
    <t>Excess/(Deficit) Financing for 2017</t>
  </si>
  <si>
    <t>A series of identical cash flows that are expected to occur at equal time periods for a particular number of years is a perpetuity.  (True or false?)</t>
  </si>
  <si>
    <t>The future value of a current deposit increases as the expected rate of inflation increases, other things equal.  (True or False?)</t>
  </si>
  <si>
    <t>According to financial theory, investors who take more risk will make higher returns than those who take less risk. (True or false?)</t>
  </si>
  <si>
    <t>The beta (β) coefficient is a measure of a stock's diversifiable risk when it is held in a large portfolio of stocks. (True or false?)</t>
  </si>
  <si>
    <t>the discount rate decreases as the real rate of interest increases.</t>
  </si>
  <si>
    <t>B</t>
  </si>
  <si>
    <t>rate on the loan only if the interest on the loan is compounded annually. (True or false?)</t>
  </si>
  <si>
    <t>The real rate of interest increases</t>
  </si>
  <si>
    <t>Expected inflation decreases</t>
  </si>
  <si>
    <t>The slope of the SML will increase when</t>
  </si>
  <si>
    <t>A</t>
  </si>
  <si>
    <t>For any positive interest rate, increasing the compounding frequency will decrease the future value of an investment.  (True or false?)</t>
  </si>
  <si>
    <t>A borrower would always prefer a longer compounding period for interest than a shorter compounding period, other things equal.  (True or false?)</t>
  </si>
  <si>
    <t>The required rate of interest increases as the risk of an investment increases, other things equal.  (True or false?)</t>
  </si>
  <si>
    <t>The total present value of all 11 cash flows, including the three missing ones, is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</si>
</sst>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11" fillId="0" borderId="0" xfId="0" applyFont="1"/>
    <xf numFmtId="0" fontId="13"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0" fontId="3" fillId="2" borderId="14" xfId="0" applyFont="1" applyFill="1" applyBorder="1" applyAlignment="1">
      <alignment horizontal="center"/>
    </xf>
    <xf numFmtId="0" fontId="15"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Ref>
              <c:f>'P5 - 20 Pts'!$C$97:$C$107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xVal>
          <c:yVal>
            <c:numRef>
              <c:f>'P5 - 20 Pts'!$D$97:$D$107</c:f>
              <c:numCache>
                <c:formatCode>_("$"* #,##0_);_("$"* \(#,##0\);_("$"* "-"??_);_(@_)</c:formatCode>
                <c:ptCount val="11"/>
                <c:pt idx="0">
                  <c:v>926000</c:v>
                </c:pt>
                <c:pt idx="1">
                  <c:v>948500</c:v>
                </c:pt>
                <c:pt idx="2">
                  <c:v>1014000</c:v>
                </c:pt>
                <c:pt idx="3">
                  <c:v>850000</c:v>
                </c:pt>
                <c:pt idx="4">
                  <c:v>875000</c:v>
                </c:pt>
                <c:pt idx="5">
                  <c:v>965000</c:v>
                </c:pt>
                <c:pt idx="6">
                  <c:v>1040000</c:v>
                </c:pt>
                <c:pt idx="7">
                  <c:v>1355000</c:v>
                </c:pt>
                <c:pt idx="8">
                  <c:v>1216000</c:v>
                </c:pt>
                <c:pt idx="9">
                  <c:v>1395000</c:v>
                </c:pt>
                <c:pt idx="10">
                  <c:v>1450000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0"/>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8%.</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30</xdr:row>
      <xdr:rowOff>96520</xdr:rowOff>
    </xdr:from>
    <xdr:to>
      <xdr:col>8</xdr:col>
      <xdr:colOff>419100</xdr:colOff>
      <xdr:row>36</xdr:row>
      <xdr:rowOff>115570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72870" y="5624830"/>
          <a:ext cx="462788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7</xdr:col>
      <xdr:colOff>457201</xdr:colOff>
      <xdr:row>129</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6800851"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2017 pro forma income statement and balance sheet for the firm whose 2015 and 2016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2017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2015 and 2016.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2015 and 2016</a:t>
          </a:r>
          <a:r>
            <a:rPr lang="en-US" sz="1100" b="1">
              <a:solidFill>
                <a:schemeClr val="dk1"/>
              </a:solidFill>
              <a:effectLst/>
              <a:latin typeface="+mn-lt"/>
              <a:ea typeface="+mn-ea"/>
              <a:cs typeface="+mn-cs"/>
            </a:rPr>
            <a:t>.  The firm has planned an investment of $350,000 in new equipment </a:t>
          </a:r>
          <a:r>
            <a:rPr lang="en-US" sz="1100" b="1" baseline="0">
              <a:solidFill>
                <a:schemeClr val="dk1"/>
              </a:solidFill>
              <a:effectLst/>
              <a:latin typeface="+mn-lt"/>
              <a:ea typeface="+mn-ea"/>
              <a:cs typeface="+mn-cs"/>
            </a:rPr>
            <a:t>in 2017.  This equipment will be depreciated at $60,000 per year. Depreciation on existing Plant/Equipment will be the same as it was in 2016.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2017 is computed on the 2016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2017 using the information above, the inputs below, and the values that are given in the statements. The 2017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2017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145" zoomScaleNormal="145" workbookViewId="0"/>
  </sheetViews>
  <sheetFormatPr defaultRowHeight="15" x14ac:dyDescent="0.25"/>
  <cols>
    <col min="1" max="1" width="2.7109375" customWidth="1"/>
  </cols>
  <sheetData>
    <row r="2" spans="2:3" ht="18.75" x14ac:dyDescent="0.3">
      <c r="B2" s="86" t="s">
        <v>53</v>
      </c>
      <c r="C2" s="85"/>
    </row>
    <row r="3" spans="2:3" ht="18.75" x14ac:dyDescent="0.3">
      <c r="B3" s="86" t="s">
        <v>73</v>
      </c>
      <c r="C3" s="85"/>
    </row>
    <row r="4" spans="2:3" ht="18.75" x14ac:dyDescent="0.3">
      <c r="B4" s="86" t="s">
        <v>59</v>
      </c>
      <c r="C4" s="85"/>
    </row>
    <row r="5" spans="2:3" ht="6" customHeight="1" x14ac:dyDescent="0.3">
      <c r="B5" s="86"/>
      <c r="C5" s="85"/>
    </row>
    <row r="6" spans="2:3" ht="16.5" customHeight="1" x14ac:dyDescent="0.3">
      <c r="B6" s="86" t="s">
        <v>100</v>
      </c>
      <c r="C6" s="85"/>
    </row>
    <row r="7" spans="2:3" ht="16.5" customHeight="1" x14ac:dyDescent="0.3">
      <c r="B7" s="86" t="s">
        <v>101</v>
      </c>
      <c r="C7" s="85"/>
    </row>
    <row r="8" spans="2:3" ht="16.5" customHeight="1" x14ac:dyDescent="0.3">
      <c r="B8" s="86" t="s">
        <v>122</v>
      </c>
      <c r="C8" s="85"/>
    </row>
    <row r="9" spans="2:3" ht="4.5" customHeight="1" x14ac:dyDescent="0.3">
      <c r="B9" s="86"/>
      <c r="C9" s="85"/>
    </row>
    <row r="10" spans="2:3" ht="15" customHeight="1" x14ac:dyDescent="0.3">
      <c r="B10" s="86" t="s">
        <v>54</v>
      </c>
      <c r="C10" s="85"/>
    </row>
    <row r="11" spans="2:3" ht="16.5" customHeight="1" x14ac:dyDescent="0.3">
      <c r="B11" s="86"/>
      <c r="C11" s="85"/>
    </row>
    <row r="12" spans="2:3" ht="17.649999999999999" customHeight="1" x14ac:dyDescent="0.25">
      <c r="B12" s="85" t="s">
        <v>233</v>
      </c>
      <c r="C12" s="85"/>
    </row>
    <row r="13" spans="2:3" ht="18.75" x14ac:dyDescent="0.3">
      <c r="B13" s="86"/>
      <c r="C13" s="85"/>
    </row>
    <row r="14" spans="2:3" ht="20.45" customHeight="1" x14ac:dyDescent="0.25">
      <c r="B14" s="85" t="s">
        <v>55</v>
      </c>
      <c r="C14" s="85"/>
    </row>
    <row r="15" spans="2:3" x14ac:dyDescent="0.25">
      <c r="B15" s="85" t="s">
        <v>123</v>
      </c>
      <c r="C15" s="85"/>
    </row>
    <row r="16" spans="2:3" x14ac:dyDescent="0.25">
      <c r="B16" s="85" t="s">
        <v>214</v>
      </c>
      <c r="C16" s="85"/>
    </row>
    <row r="17" spans="2:3" x14ac:dyDescent="0.25">
      <c r="B17" s="85"/>
      <c r="C17" s="85"/>
    </row>
    <row r="18" spans="2:3" ht="17.649999999999999" customHeight="1" x14ac:dyDescent="0.25">
      <c r="B18" s="87" t="s">
        <v>102</v>
      </c>
      <c r="C18" s="85"/>
    </row>
    <row r="19" spans="2:3" ht="17.649999999999999" customHeight="1" x14ac:dyDescent="0.25">
      <c r="B19" s="87" t="s">
        <v>103</v>
      </c>
      <c r="C19" s="85"/>
    </row>
    <row r="20" spans="2:3" ht="17.649999999999999" customHeight="1" x14ac:dyDescent="0.25">
      <c r="B20" s="85"/>
      <c r="C20" s="85"/>
    </row>
    <row r="21" spans="2:3" ht="14.65" customHeight="1" x14ac:dyDescent="0.25">
      <c r="B21" s="85" t="s">
        <v>74</v>
      </c>
      <c r="C21" s="85"/>
    </row>
    <row r="22" spans="2:3" x14ac:dyDescent="0.25">
      <c r="B22" s="85"/>
      <c r="C22" s="85"/>
    </row>
    <row r="23" spans="2:3" ht="19.5" customHeight="1" x14ac:dyDescent="0.25">
      <c r="B23" s="85"/>
      <c r="C23" s="85" t="s">
        <v>75</v>
      </c>
    </row>
    <row r="24" spans="2:3" x14ac:dyDescent="0.25">
      <c r="B24" s="85"/>
      <c r="C24" s="85" t="s">
        <v>104</v>
      </c>
    </row>
    <row r="25" spans="2:3" x14ac:dyDescent="0.25">
      <c r="B25" s="85"/>
      <c r="C25" s="85" t="s">
        <v>124</v>
      </c>
    </row>
    <row r="26" spans="2:3" x14ac:dyDescent="0.25">
      <c r="B26" s="85"/>
      <c r="C26" s="85"/>
    </row>
    <row r="27" spans="2:3" x14ac:dyDescent="0.25">
      <c r="B27" s="85"/>
      <c r="C27" s="85"/>
    </row>
    <row r="28" spans="2:3" x14ac:dyDescent="0.25">
      <c r="C28"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61</v>
      </c>
    </row>
    <row r="21" spans="3:19" ht="15.75" thickBot="1" x14ac:dyDescent="0.3">
      <c r="C21" s="6" t="s">
        <v>8</v>
      </c>
      <c r="F21" s="2">
        <v>345000</v>
      </c>
      <c r="G21" t="s">
        <v>86</v>
      </c>
      <c r="N21" t="s">
        <v>78</v>
      </c>
      <c r="O21">
        <f>IF(F25="Annual",1,IF(F25="Quarterly",4,12))</f>
        <v>12</v>
      </c>
      <c r="P21">
        <v>1</v>
      </c>
    </row>
    <row r="22" spans="3:19" ht="15.75" thickBot="1" x14ac:dyDescent="0.3">
      <c r="C22" s="38" t="s">
        <v>81</v>
      </c>
      <c r="F22" s="45">
        <v>3</v>
      </c>
      <c r="G22" t="s">
        <v>89</v>
      </c>
      <c r="H22" s="5">
        <f>D31*Term*Periods+F24-F21</f>
        <v>28287.178411009139</v>
      </c>
      <c r="N22" t="s">
        <v>79</v>
      </c>
      <c r="P22">
        <v>2</v>
      </c>
    </row>
    <row r="23" spans="3:19" x14ac:dyDescent="0.25">
      <c r="C23" s="6" t="s">
        <v>9</v>
      </c>
      <c r="F23" s="3">
        <v>4.5999999999999999E-2</v>
      </c>
      <c r="N23" t="s">
        <v>80</v>
      </c>
      <c r="P23">
        <v>3</v>
      </c>
    </row>
    <row r="24" spans="3:19" ht="15.75" thickBot="1" x14ac:dyDescent="0.3">
      <c r="C24" s="6" t="s">
        <v>10</v>
      </c>
      <c r="F24" s="2">
        <v>50000</v>
      </c>
      <c r="G24" t="s">
        <v>87</v>
      </c>
      <c r="P24">
        <v>4</v>
      </c>
    </row>
    <row r="25" spans="3:19" ht="15.75" thickBot="1" x14ac:dyDescent="0.3">
      <c r="C25" s="38" t="s">
        <v>60</v>
      </c>
      <c r="F25" t="s">
        <v>80</v>
      </c>
      <c r="G25" t="s">
        <v>88</v>
      </c>
      <c r="H25" s="50">
        <f>EFFECT(Rate,Periods)</f>
        <v>4.698233319035805E-2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345000</v>
      </c>
    </row>
    <row r="31" spans="3:19" x14ac:dyDescent="0.25">
      <c r="C31" s="12">
        <v>1</v>
      </c>
      <c r="D31" s="14">
        <f>PMT(Rate/Periods,Term*Periods,-F21,F24)</f>
        <v>8980.1994003058098</v>
      </c>
      <c r="E31" s="13">
        <f t="shared" ref="E31:E62" si="0">IF(C31&gt;Term*Periods,"",G30*Rate/Periods)</f>
        <v>1322.5</v>
      </c>
      <c r="F31" s="14">
        <f t="shared" ref="F31:F62" si="1">IF(C31&gt;Term*Periods,"",D31-E31)</f>
        <v>7657.6994003058098</v>
      </c>
      <c r="G31" s="13">
        <f t="shared" ref="G31:G62" si="2">IF(C31&gt;Term*Periods,"",G30-F31)</f>
        <v>337342.30059969419</v>
      </c>
      <c r="K31" t="s">
        <v>15</v>
      </c>
    </row>
    <row r="32" spans="3:19" x14ac:dyDescent="0.25">
      <c r="C32" s="12">
        <v>2</v>
      </c>
      <c r="D32" s="14">
        <f t="shared" ref="D32:D63" si="3">IF(C32&gt;Term*Periods,"",IF(C32=Term*Periods,$D$31+$F$24,$D$31))</f>
        <v>8980.1994003058098</v>
      </c>
      <c r="E32" s="13">
        <f t="shared" si="0"/>
        <v>1293.1454856321611</v>
      </c>
      <c r="F32" s="14">
        <f t="shared" si="1"/>
        <v>7687.0539146736483</v>
      </c>
      <c r="G32" s="13">
        <f t="shared" si="2"/>
        <v>329655.24668502057</v>
      </c>
    </row>
    <row r="33" spans="3:7" x14ac:dyDescent="0.25">
      <c r="C33" s="12">
        <v>3</v>
      </c>
      <c r="D33" s="14">
        <f t="shared" si="3"/>
        <v>8980.1994003058098</v>
      </c>
      <c r="E33" s="13">
        <f t="shared" si="0"/>
        <v>1263.6784456259122</v>
      </c>
      <c r="F33" s="14">
        <f t="shared" si="1"/>
        <v>7716.5209546798978</v>
      </c>
      <c r="G33" s="13">
        <f t="shared" si="2"/>
        <v>321938.7257303407</v>
      </c>
    </row>
    <row r="34" spans="3:7" x14ac:dyDescent="0.25">
      <c r="C34" s="12">
        <v>4</v>
      </c>
      <c r="D34" s="14">
        <f t="shared" si="3"/>
        <v>8980.1994003058098</v>
      </c>
      <c r="E34" s="13">
        <f t="shared" si="0"/>
        <v>1234.0984486329726</v>
      </c>
      <c r="F34" s="14">
        <f t="shared" si="1"/>
        <v>7746.1009516728373</v>
      </c>
      <c r="G34" s="13">
        <f t="shared" si="2"/>
        <v>314192.62477866787</v>
      </c>
    </row>
    <row r="35" spans="3:7" x14ac:dyDescent="0.25">
      <c r="C35" s="12">
        <v>5</v>
      </c>
      <c r="D35" s="14">
        <f t="shared" si="3"/>
        <v>8980.1994003058098</v>
      </c>
      <c r="E35" s="13">
        <f t="shared" si="0"/>
        <v>1204.4050616515601</v>
      </c>
      <c r="F35" s="14">
        <f t="shared" si="1"/>
        <v>7775.7943386542502</v>
      </c>
      <c r="G35" s="13">
        <f t="shared" si="2"/>
        <v>306416.83044001361</v>
      </c>
    </row>
    <row r="36" spans="3:7" x14ac:dyDescent="0.25">
      <c r="C36" s="12">
        <v>6</v>
      </c>
      <c r="D36" s="14">
        <f t="shared" si="3"/>
        <v>8980.1994003058098</v>
      </c>
      <c r="E36" s="13">
        <f t="shared" si="0"/>
        <v>1174.5978500200522</v>
      </c>
      <c r="F36" s="14">
        <f t="shared" si="1"/>
        <v>7805.6015502857572</v>
      </c>
      <c r="G36" s="13">
        <f t="shared" si="2"/>
        <v>298611.22888972785</v>
      </c>
    </row>
    <row r="37" spans="3:7" x14ac:dyDescent="0.25">
      <c r="C37" s="12">
        <v>7</v>
      </c>
      <c r="D37" s="14">
        <f t="shared" si="3"/>
        <v>8980.1994003058098</v>
      </c>
      <c r="E37" s="13">
        <f t="shared" si="0"/>
        <v>1144.6763774106234</v>
      </c>
      <c r="F37" s="14">
        <f t="shared" si="1"/>
        <v>7835.5230228951859</v>
      </c>
      <c r="G37" s="13">
        <f t="shared" si="2"/>
        <v>290775.70586683264</v>
      </c>
    </row>
    <row r="38" spans="3:7" x14ac:dyDescent="0.25">
      <c r="C38" s="12">
        <v>8</v>
      </c>
      <c r="D38" s="14">
        <f t="shared" si="3"/>
        <v>8980.1994003058098</v>
      </c>
      <c r="E38" s="13">
        <f t="shared" si="0"/>
        <v>1114.6402058228584</v>
      </c>
      <c r="F38" s="14">
        <f t="shared" si="1"/>
        <v>7865.5591944829512</v>
      </c>
      <c r="G38" s="13">
        <f t="shared" si="2"/>
        <v>282910.14667234966</v>
      </c>
    </row>
    <row r="39" spans="3:7" x14ac:dyDescent="0.25">
      <c r="C39" s="12">
        <v>9</v>
      </c>
      <c r="D39" s="14">
        <f t="shared" si="3"/>
        <v>8980.1994003058098</v>
      </c>
      <c r="E39" s="13">
        <f t="shared" si="0"/>
        <v>1084.4888955773404</v>
      </c>
      <c r="F39" s="14">
        <f t="shared" si="1"/>
        <v>7895.7105047284695</v>
      </c>
      <c r="G39" s="13">
        <f t="shared" si="2"/>
        <v>275014.43616762117</v>
      </c>
    </row>
    <row r="40" spans="3:7" x14ac:dyDescent="0.25">
      <c r="C40" s="12">
        <v>10</v>
      </c>
      <c r="D40" s="14">
        <f t="shared" si="3"/>
        <v>8980.1994003058098</v>
      </c>
      <c r="E40" s="13">
        <f t="shared" si="0"/>
        <v>1054.2220053092144</v>
      </c>
      <c r="F40" s="14">
        <f t="shared" si="1"/>
        <v>7925.9773949965956</v>
      </c>
      <c r="G40" s="13">
        <f t="shared" si="2"/>
        <v>267088.45877262455</v>
      </c>
    </row>
    <row r="41" spans="3:7" x14ac:dyDescent="0.25">
      <c r="C41" s="12">
        <v>11</v>
      </c>
      <c r="D41" s="14">
        <f t="shared" si="3"/>
        <v>8980.1994003058098</v>
      </c>
      <c r="E41" s="13">
        <f t="shared" si="0"/>
        <v>1023.8390919617274</v>
      </c>
      <c r="F41" s="14">
        <f t="shared" si="1"/>
        <v>7956.3603083440821</v>
      </c>
      <c r="G41" s="13">
        <f t="shared" si="2"/>
        <v>259132.09846428048</v>
      </c>
    </row>
    <row r="42" spans="3:7" x14ac:dyDescent="0.25">
      <c r="C42" s="12">
        <v>12</v>
      </c>
      <c r="D42" s="14">
        <f t="shared" si="3"/>
        <v>8980.1994003058098</v>
      </c>
      <c r="E42" s="13">
        <f t="shared" si="0"/>
        <v>993.33971077974184</v>
      </c>
      <c r="F42" s="14">
        <f t="shared" si="1"/>
        <v>7986.859689526068</v>
      </c>
      <c r="G42" s="13">
        <f t="shared" si="2"/>
        <v>251145.23877475443</v>
      </c>
    </row>
    <row r="43" spans="3:7" x14ac:dyDescent="0.25">
      <c r="C43" s="12">
        <v>13</v>
      </c>
      <c r="D43" s="14">
        <f t="shared" si="3"/>
        <v>8980.1994003058098</v>
      </c>
      <c r="E43" s="13">
        <f t="shared" si="0"/>
        <v>962.72341530322535</v>
      </c>
      <c r="F43" s="14">
        <f t="shared" si="1"/>
        <v>8017.4759850025848</v>
      </c>
      <c r="G43" s="13">
        <f t="shared" si="2"/>
        <v>243127.76278975184</v>
      </c>
    </row>
    <row r="44" spans="3:7" x14ac:dyDescent="0.25">
      <c r="C44" s="12">
        <v>14</v>
      </c>
      <c r="D44" s="14">
        <f t="shared" si="3"/>
        <v>8980.1994003058098</v>
      </c>
      <c r="E44" s="13">
        <f t="shared" si="0"/>
        <v>931.98975736071543</v>
      </c>
      <c r="F44" s="14">
        <f t="shared" si="1"/>
        <v>8048.2096429450939</v>
      </c>
      <c r="G44" s="13">
        <f t="shared" si="2"/>
        <v>235079.55314680675</v>
      </c>
    </row>
    <row r="45" spans="3:7" x14ac:dyDescent="0.25">
      <c r="C45" s="12">
        <v>15</v>
      </c>
      <c r="D45" s="14">
        <f t="shared" si="3"/>
        <v>8980.1994003058098</v>
      </c>
      <c r="E45" s="13">
        <f t="shared" si="0"/>
        <v>901.1382870627591</v>
      </c>
      <c r="F45" s="14">
        <f t="shared" si="1"/>
        <v>8079.0611132430504</v>
      </c>
      <c r="G45" s="13">
        <f t="shared" si="2"/>
        <v>227000.4920335637</v>
      </c>
    </row>
    <row r="46" spans="3:7" x14ac:dyDescent="0.25">
      <c r="C46" s="12">
        <v>16</v>
      </c>
      <c r="D46" s="14">
        <f t="shared" si="3"/>
        <v>8980.1994003058098</v>
      </c>
      <c r="E46" s="13">
        <f t="shared" si="0"/>
        <v>870.1685527953274</v>
      </c>
      <c r="F46" s="14">
        <f t="shared" si="1"/>
        <v>8110.0308475104821</v>
      </c>
      <c r="G46" s="13">
        <f t="shared" si="2"/>
        <v>218890.46118605323</v>
      </c>
    </row>
    <row r="47" spans="3:7" x14ac:dyDescent="0.25">
      <c r="C47" s="12">
        <v>17</v>
      </c>
      <c r="D47" s="14">
        <f t="shared" si="3"/>
        <v>8980.1994003058098</v>
      </c>
      <c r="E47" s="13">
        <f t="shared" si="0"/>
        <v>839.0801012132041</v>
      </c>
      <c r="F47" s="14">
        <f t="shared" si="1"/>
        <v>8141.1192990926056</v>
      </c>
      <c r="G47" s="13">
        <f t="shared" si="2"/>
        <v>210749.34188696064</v>
      </c>
    </row>
    <row r="48" spans="3:7" x14ac:dyDescent="0.25">
      <c r="C48" s="12">
        <v>18</v>
      </c>
      <c r="D48" s="14">
        <f t="shared" si="3"/>
        <v>8980.1994003058098</v>
      </c>
      <c r="E48" s="13">
        <f t="shared" si="0"/>
        <v>807.87247723334906</v>
      </c>
      <c r="F48" s="14">
        <f t="shared" si="1"/>
        <v>8172.3269230724609</v>
      </c>
      <c r="G48" s="13">
        <f t="shared" si="2"/>
        <v>202577.01496388818</v>
      </c>
    </row>
    <row r="49" spans="3:7" x14ac:dyDescent="0.25">
      <c r="C49" s="12">
        <v>19</v>
      </c>
      <c r="D49" s="14">
        <f t="shared" si="3"/>
        <v>8980.1994003058098</v>
      </c>
      <c r="E49" s="13">
        <f t="shared" si="0"/>
        <v>776.54522402823795</v>
      </c>
      <c r="F49" s="14">
        <f t="shared" si="1"/>
        <v>8203.6541762775723</v>
      </c>
      <c r="G49" s="13">
        <f t="shared" si="2"/>
        <v>194373.36078761061</v>
      </c>
    </row>
    <row r="50" spans="3:7" x14ac:dyDescent="0.25">
      <c r="C50" s="12">
        <v>20</v>
      </c>
      <c r="D50" s="14">
        <f t="shared" si="3"/>
        <v>8980.1994003058098</v>
      </c>
      <c r="E50" s="13">
        <f t="shared" si="0"/>
        <v>745.09788301917399</v>
      </c>
      <c r="F50" s="14">
        <f t="shared" si="1"/>
        <v>8235.1015172866355</v>
      </c>
      <c r="G50" s="13">
        <f t="shared" si="2"/>
        <v>186138.25927032396</v>
      </c>
    </row>
    <row r="51" spans="3:7" x14ac:dyDescent="0.25">
      <c r="C51" s="12">
        <v>21</v>
      </c>
      <c r="D51" s="14">
        <f t="shared" si="3"/>
        <v>8980.1994003058098</v>
      </c>
      <c r="E51" s="13">
        <f t="shared" si="0"/>
        <v>713.52999386957515</v>
      </c>
      <c r="F51" s="14">
        <f t="shared" si="1"/>
        <v>8266.6694064362346</v>
      </c>
      <c r="G51" s="13">
        <f t="shared" si="2"/>
        <v>177871.58986388773</v>
      </c>
    </row>
    <row r="52" spans="3:7" x14ac:dyDescent="0.25">
      <c r="C52" s="12">
        <v>22</v>
      </c>
      <c r="D52" s="14">
        <f t="shared" si="3"/>
        <v>8980.1994003058098</v>
      </c>
      <c r="E52" s="13">
        <f t="shared" si="0"/>
        <v>681.8410944782363</v>
      </c>
      <c r="F52" s="14">
        <f t="shared" si="1"/>
        <v>8298.3583058275726</v>
      </c>
      <c r="G52" s="13">
        <f t="shared" si="2"/>
        <v>169573.23155806016</v>
      </c>
    </row>
    <row r="53" spans="3:7" x14ac:dyDescent="0.25">
      <c r="C53" s="12">
        <v>23</v>
      </c>
      <c r="D53" s="14">
        <f t="shared" si="3"/>
        <v>8980.1994003058098</v>
      </c>
      <c r="E53" s="13">
        <f t="shared" si="0"/>
        <v>650.03072097256393</v>
      </c>
      <c r="F53" s="14">
        <f t="shared" si="1"/>
        <v>8330.1686793332465</v>
      </c>
      <c r="G53" s="13">
        <f t="shared" si="2"/>
        <v>161243.06287872692</v>
      </c>
    </row>
    <row r="54" spans="3:7" x14ac:dyDescent="0.25">
      <c r="C54" s="12">
        <v>24</v>
      </c>
      <c r="D54" s="14">
        <f t="shared" si="3"/>
        <v>8980.1994003058098</v>
      </c>
      <c r="E54" s="13">
        <f t="shared" si="0"/>
        <v>618.09840770178653</v>
      </c>
      <c r="F54" s="14">
        <f t="shared" si="1"/>
        <v>8362.1009926040242</v>
      </c>
      <c r="G54" s="13">
        <f t="shared" si="2"/>
        <v>152880.96188612291</v>
      </c>
    </row>
    <row r="55" spans="3:7" x14ac:dyDescent="0.25">
      <c r="C55" s="12">
        <v>25</v>
      </c>
      <c r="D55" s="14">
        <f t="shared" si="3"/>
        <v>8980.1994003058098</v>
      </c>
      <c r="E55" s="13">
        <f t="shared" si="0"/>
        <v>586.04368723013783</v>
      </c>
      <c r="F55" s="14">
        <f t="shared" si="1"/>
        <v>8394.1557130756719</v>
      </c>
      <c r="G55" s="13">
        <f t="shared" si="2"/>
        <v>144486.80617304723</v>
      </c>
    </row>
    <row r="56" spans="3:7" x14ac:dyDescent="0.25">
      <c r="C56" s="12">
        <v>26</v>
      </c>
      <c r="D56" s="14">
        <f t="shared" si="3"/>
        <v>8980.1994003058098</v>
      </c>
      <c r="E56" s="13">
        <f t="shared" si="0"/>
        <v>553.86609033001434</v>
      </c>
      <c r="F56" s="14">
        <f t="shared" si="1"/>
        <v>8426.3333099757947</v>
      </c>
      <c r="G56" s="13">
        <f t="shared" si="2"/>
        <v>136060.47286307142</v>
      </c>
    </row>
    <row r="57" spans="3:7" x14ac:dyDescent="0.25">
      <c r="C57" s="12">
        <v>27</v>
      </c>
      <c r="D57" s="14">
        <f t="shared" si="3"/>
        <v>8980.1994003058098</v>
      </c>
      <c r="E57" s="13">
        <f t="shared" si="0"/>
        <v>521.56514597510716</v>
      </c>
      <c r="F57" s="14">
        <f t="shared" si="1"/>
        <v>8458.6342543307019</v>
      </c>
      <c r="G57" s="13">
        <f t="shared" si="2"/>
        <v>127601.83860874073</v>
      </c>
    </row>
    <row r="58" spans="3:7" x14ac:dyDescent="0.25">
      <c r="C58" s="12">
        <v>28</v>
      </c>
      <c r="D58" s="14">
        <f t="shared" si="3"/>
        <v>8980.1994003058098</v>
      </c>
      <c r="E58" s="13">
        <f t="shared" si="0"/>
        <v>489.14038133350613</v>
      </c>
      <c r="F58" s="14">
        <f t="shared" si="1"/>
        <v>8491.0590189723043</v>
      </c>
      <c r="G58" s="13">
        <f t="shared" si="2"/>
        <v>119110.77958976843</v>
      </c>
    </row>
    <row r="59" spans="3:7" x14ac:dyDescent="0.25">
      <c r="C59" s="12">
        <v>29</v>
      </c>
      <c r="D59" s="14">
        <f t="shared" si="3"/>
        <v>8980.1994003058098</v>
      </c>
      <c r="E59" s="13">
        <f t="shared" si="0"/>
        <v>456.59132176077895</v>
      </c>
      <c r="F59" s="14">
        <f t="shared" si="1"/>
        <v>8523.6080785450304</v>
      </c>
      <c r="G59" s="13">
        <f t="shared" si="2"/>
        <v>110587.17151122339</v>
      </c>
    </row>
    <row r="60" spans="3:7" x14ac:dyDescent="0.25">
      <c r="C60" s="12">
        <v>30</v>
      </c>
      <c r="D60" s="14">
        <f t="shared" si="3"/>
        <v>8980.1994003058098</v>
      </c>
      <c r="E60" s="13">
        <f t="shared" si="0"/>
        <v>423.91749079302303</v>
      </c>
      <c r="F60" s="14">
        <f t="shared" si="1"/>
        <v>8556.281909512787</v>
      </c>
      <c r="G60" s="13">
        <f t="shared" si="2"/>
        <v>102030.8896017106</v>
      </c>
    </row>
    <row r="61" spans="3:7" x14ac:dyDescent="0.25">
      <c r="C61" s="12">
        <v>31</v>
      </c>
      <c r="D61" s="14">
        <f t="shared" si="3"/>
        <v>8980.1994003058098</v>
      </c>
      <c r="E61" s="13">
        <f t="shared" si="0"/>
        <v>391.11841013989061</v>
      </c>
      <c r="F61" s="14">
        <f t="shared" si="1"/>
        <v>8589.0809901659195</v>
      </c>
      <c r="G61" s="13">
        <f t="shared" si="2"/>
        <v>93441.808611544679</v>
      </c>
    </row>
    <row r="62" spans="3:7" x14ac:dyDescent="0.25">
      <c r="C62" s="12">
        <v>32</v>
      </c>
      <c r="D62" s="14">
        <f t="shared" si="3"/>
        <v>8980.1994003058098</v>
      </c>
      <c r="E62" s="13">
        <f t="shared" si="0"/>
        <v>358.19359967758788</v>
      </c>
      <c r="F62" s="14">
        <f t="shared" si="1"/>
        <v>8622.0058006282216</v>
      </c>
      <c r="G62" s="13">
        <f t="shared" si="2"/>
        <v>84819.802810916459</v>
      </c>
    </row>
    <row r="63" spans="3:7" x14ac:dyDescent="0.25">
      <c r="C63" s="12">
        <v>33</v>
      </c>
      <c r="D63" s="14">
        <f t="shared" si="3"/>
        <v>8980.1994003058098</v>
      </c>
      <c r="E63" s="13">
        <f t="shared" ref="E63:E90" si="4">IF(C63&gt;Term*Periods,"",G62*Rate/Periods)</f>
        <v>325.14257744184641</v>
      </c>
      <c r="F63" s="14">
        <f t="shared" ref="F63:F90" si="5">IF(C63&gt;Term*Periods,"",D63-E63)</f>
        <v>8655.056822863964</v>
      </c>
      <c r="G63" s="13">
        <f t="shared" ref="G63:G90" si="6">IF(C63&gt;Term*Periods,"",G62-F63)</f>
        <v>76164.745988052498</v>
      </c>
    </row>
    <row r="64" spans="3:7" x14ac:dyDescent="0.25">
      <c r="C64" s="12">
        <v>34</v>
      </c>
      <c r="D64" s="14">
        <f t="shared" ref="D64:D90" si="7">IF(C64&gt;Term*Periods,"",IF(C64=Term*Periods,$D$31+$F$24,$D$31))</f>
        <v>8980.1994003058098</v>
      </c>
      <c r="E64" s="13">
        <f t="shared" si="4"/>
        <v>291.96485962086791</v>
      </c>
      <c r="F64" s="14">
        <f t="shared" si="5"/>
        <v>8688.2345406849417</v>
      </c>
      <c r="G64" s="13">
        <f t="shared" si="6"/>
        <v>67476.511447367549</v>
      </c>
    </row>
    <row r="65" spans="3:7" x14ac:dyDescent="0.25">
      <c r="C65" s="12">
        <v>35</v>
      </c>
      <c r="D65" s="14">
        <f t="shared" si="7"/>
        <v>8980.1994003058098</v>
      </c>
      <c r="E65" s="13">
        <f t="shared" si="4"/>
        <v>258.65996054824228</v>
      </c>
      <c r="F65" s="14">
        <f t="shared" si="5"/>
        <v>8721.5394397575674</v>
      </c>
      <c r="G65" s="13">
        <f t="shared" si="6"/>
        <v>58754.972007609984</v>
      </c>
    </row>
    <row r="66" spans="3:7" x14ac:dyDescent="0.25">
      <c r="C66" s="12">
        <v>36</v>
      </c>
      <c r="D66" s="14">
        <f t="shared" si="7"/>
        <v>58980.199400305806</v>
      </c>
      <c r="E66" s="13">
        <f t="shared" si="4"/>
        <v>225.22739269583826</v>
      </c>
      <c r="F66" s="14">
        <f t="shared" si="5"/>
        <v>58754.972007609969</v>
      </c>
      <c r="G66" s="13">
        <f t="shared" si="6"/>
        <v>1.4551915228366852E-11</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2% and 8%." sqref="F23">
      <formula1>0.02</formula1>
      <formula2>0.08</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62</v>
      </c>
      <c r="C18" s="44">
        <v>345000</v>
      </c>
      <c r="E18" s="43" t="s">
        <v>83</v>
      </c>
    </row>
    <row r="19" spans="2:7" ht="15.75" thickBot="1" x14ac:dyDescent="0.3">
      <c r="B19" s="43" t="s">
        <v>63</v>
      </c>
      <c r="C19" s="41">
        <v>3</v>
      </c>
      <c r="E19" s="43" t="s">
        <v>84</v>
      </c>
      <c r="G19" s="48">
        <f>PMT(C20/12,C19*12,-C18)</f>
        <v>10278.114552900013</v>
      </c>
    </row>
    <row r="20" spans="2:7" x14ac:dyDescent="0.25">
      <c r="B20" s="43" t="s">
        <v>16</v>
      </c>
      <c r="C20" s="51">
        <v>4.5999999999999999E-2</v>
      </c>
    </row>
    <row r="21" spans="2:7" x14ac:dyDescent="0.25">
      <c r="B21" s="43" t="s">
        <v>64</v>
      </c>
      <c r="C21" s="44">
        <v>2500</v>
      </c>
      <c r="E21" s="43" t="s">
        <v>82</v>
      </c>
    </row>
    <row r="22" spans="2:7" ht="15.75" thickBot="1" x14ac:dyDescent="0.3">
      <c r="E22" s="43" t="s">
        <v>65</v>
      </c>
    </row>
    <row r="23" spans="2:7" ht="15.75" thickBot="1" x14ac:dyDescent="0.3">
      <c r="E23" s="43" t="s">
        <v>85</v>
      </c>
      <c r="G23" s="92">
        <f>NPER(C20/12,G19+C21,-C18)</f>
        <v>28.555620801909068</v>
      </c>
    </row>
    <row r="25" spans="2:7" x14ac:dyDescent="0.25">
      <c r="E25" s="43" t="s">
        <v>66</v>
      </c>
    </row>
    <row r="26" spans="2:7" x14ac:dyDescent="0.25">
      <c r="E26" s="43" t="s">
        <v>67</v>
      </c>
    </row>
    <row r="27" spans="2:7" x14ac:dyDescent="0.25">
      <c r="E27" s="43" t="s">
        <v>68</v>
      </c>
    </row>
    <row r="28" spans="2:7" x14ac:dyDescent="0.25">
      <c r="E28" s="43" t="s">
        <v>69</v>
      </c>
    </row>
    <row r="29" spans="2:7" x14ac:dyDescent="0.25">
      <c r="E29" s="43" t="s">
        <v>70</v>
      </c>
    </row>
    <row r="30" spans="2:7" ht="15.75" thickBot="1" x14ac:dyDescent="0.3">
      <c r="E30" s="43" t="s">
        <v>71</v>
      </c>
    </row>
    <row r="31" spans="2:7" ht="15.75" thickBot="1" x14ac:dyDescent="0.3">
      <c r="E31" s="43" t="s">
        <v>72</v>
      </c>
      <c r="G31" s="5">
        <f>(G19*C19*12)-(G23*(G19+C21))</f>
        <v>5125.1301684319042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zoomScaleNormal="100" workbookViewId="0"/>
  </sheetViews>
  <sheetFormatPr defaultRowHeight="15" x14ac:dyDescent="0.25"/>
  <cols>
    <col min="1" max="1" width="4.42578125" customWidth="1"/>
    <col min="7" max="7" width="13.85546875" customWidth="1"/>
    <col min="8" max="8" width="14.5703125" customWidth="1"/>
    <col min="9" max="9" width="12.140625" customWidth="1"/>
    <col min="10" max="10" width="13.5703125" bestFit="1" customWidth="1"/>
    <col min="13" max="13" width="11.7109375" customWidth="1"/>
    <col min="14" max="14" width="17" style="91" customWidth="1"/>
    <col min="15" max="15" width="14.42578125" customWidth="1"/>
    <col min="16" max="16" width="15.140625" customWidth="1"/>
    <col min="17" max="17" width="21.5703125" customWidth="1"/>
  </cols>
  <sheetData>
    <row r="2" spans="2:16" x14ac:dyDescent="0.25">
      <c r="B2" s="113" t="s">
        <v>106</v>
      </c>
      <c r="C2" s="52"/>
      <c r="D2" s="52"/>
      <c r="E2" s="52"/>
      <c r="F2" s="52"/>
      <c r="G2" s="52"/>
      <c r="H2" s="52"/>
      <c r="I2" s="52"/>
      <c r="J2" s="52"/>
      <c r="K2" s="52"/>
    </row>
    <row r="3" spans="2:16" x14ac:dyDescent="0.25">
      <c r="B3" s="113" t="s">
        <v>274</v>
      </c>
      <c r="C3" s="52"/>
      <c r="D3" s="52"/>
      <c r="E3" s="52"/>
      <c r="F3" s="52"/>
      <c r="G3" s="52"/>
      <c r="H3" s="52"/>
      <c r="I3" s="52"/>
      <c r="J3" s="52"/>
      <c r="K3" s="52"/>
    </row>
    <row r="4" spans="2:16" x14ac:dyDescent="0.25">
      <c r="B4" s="113" t="s">
        <v>254</v>
      </c>
      <c r="C4" s="52"/>
      <c r="D4" s="52"/>
      <c r="E4" s="52"/>
      <c r="F4" s="52"/>
      <c r="G4" s="52"/>
      <c r="H4" s="52"/>
      <c r="I4" s="52"/>
      <c r="J4" s="52"/>
      <c r="K4" s="52"/>
    </row>
    <row r="5" spans="2:16" ht="24" customHeight="1" x14ac:dyDescent="0.25">
      <c r="B5" s="113" t="s">
        <v>255</v>
      </c>
      <c r="C5" s="52"/>
      <c r="D5" s="52"/>
      <c r="E5" s="52"/>
      <c r="F5" s="52"/>
      <c r="G5" s="52"/>
      <c r="H5" s="52"/>
      <c r="I5" s="52"/>
      <c r="J5" s="52"/>
      <c r="K5" s="52"/>
    </row>
    <row r="6" spans="2:16" x14ac:dyDescent="0.25">
      <c r="B6" s="113" t="s">
        <v>278</v>
      </c>
      <c r="C6" s="52"/>
      <c r="D6" s="52"/>
      <c r="E6" s="52"/>
      <c r="F6" s="52"/>
      <c r="G6" s="52"/>
      <c r="H6" s="52"/>
      <c r="I6" s="52"/>
      <c r="J6" s="52"/>
      <c r="K6" s="52"/>
    </row>
    <row r="7" spans="2:16" x14ac:dyDescent="0.25">
      <c r="B7" s="113" t="s">
        <v>192</v>
      </c>
      <c r="C7" s="52"/>
      <c r="D7" s="52"/>
      <c r="E7" s="52"/>
      <c r="F7" s="52"/>
      <c r="G7" s="52"/>
      <c r="H7" s="52"/>
      <c r="I7" s="52"/>
      <c r="J7" s="52"/>
      <c r="K7" s="52"/>
    </row>
    <row r="8" spans="2:16" ht="9" customHeight="1" x14ac:dyDescent="0.25">
      <c r="B8" s="113"/>
      <c r="C8" s="52"/>
      <c r="D8" s="52"/>
      <c r="E8" s="52"/>
      <c r="F8" s="52"/>
      <c r="G8" s="52"/>
      <c r="H8" s="52"/>
      <c r="I8" s="52"/>
      <c r="J8" s="52"/>
      <c r="K8" s="52"/>
    </row>
    <row r="9" spans="2:16" x14ac:dyDescent="0.25">
      <c r="B9" s="113" t="s">
        <v>193</v>
      </c>
      <c r="C9" s="52"/>
      <c r="D9" s="52"/>
      <c r="E9" s="52"/>
      <c r="F9" s="52"/>
      <c r="G9" s="52"/>
      <c r="H9" s="52"/>
      <c r="I9" s="52"/>
      <c r="J9" s="52"/>
      <c r="K9" s="52"/>
    </row>
    <row r="10" spans="2:16" x14ac:dyDescent="0.25">
      <c r="B10" s="113" t="s">
        <v>194</v>
      </c>
      <c r="C10" s="52"/>
      <c r="D10" s="52"/>
      <c r="E10" s="52"/>
      <c r="F10" s="52"/>
      <c r="G10" s="52"/>
      <c r="H10" s="52"/>
      <c r="I10" s="52"/>
      <c r="J10" s="52"/>
      <c r="K10" s="52"/>
    </row>
    <row r="11" spans="2:16" x14ac:dyDescent="0.25">
      <c r="B11" s="113" t="s">
        <v>195</v>
      </c>
      <c r="C11" s="52"/>
      <c r="D11" s="52"/>
      <c r="E11" s="52"/>
      <c r="F11" s="52"/>
      <c r="G11" s="52"/>
      <c r="H11" s="52"/>
      <c r="I11" s="52"/>
      <c r="J11" s="52"/>
      <c r="K11" s="52"/>
      <c r="O11" s="89"/>
      <c r="P11" s="89"/>
    </row>
    <row r="12" spans="2:16" s="88" customFormat="1" ht="8.65" customHeight="1" x14ac:dyDescent="0.25">
      <c r="B12" s="113"/>
      <c r="N12" s="91"/>
      <c r="O12" s="89"/>
      <c r="P12" s="89"/>
    </row>
    <row r="13" spans="2:16" s="88" customFormat="1" x14ac:dyDescent="0.25">
      <c r="B13" s="113" t="s">
        <v>107</v>
      </c>
      <c r="N13" s="91"/>
      <c r="O13" s="89"/>
      <c r="P13" s="89"/>
    </row>
    <row r="14" spans="2:16" s="88" customFormat="1" x14ac:dyDescent="0.25">
      <c r="B14" s="113" t="s">
        <v>108</v>
      </c>
      <c r="N14" s="91"/>
      <c r="O14" s="89"/>
      <c r="P14" s="89"/>
    </row>
    <row r="15" spans="2:16" s="88" customFormat="1" ht="15.75" thickBot="1" x14ac:dyDescent="0.3">
      <c r="N15" s="91"/>
      <c r="O15" s="89"/>
      <c r="P15" s="89"/>
    </row>
    <row r="16" spans="2:16" ht="15.75" thickBot="1" x14ac:dyDescent="0.3">
      <c r="B16" s="52"/>
      <c r="C16" s="52" t="s">
        <v>109</v>
      </c>
      <c r="D16" s="52"/>
      <c r="E16" s="52"/>
      <c r="F16" s="52"/>
      <c r="G16" s="52"/>
      <c r="H16" s="56">
        <v>4.4999999999999998E-2</v>
      </c>
      <c r="I16" s="52"/>
      <c r="J16" s="52"/>
      <c r="K16" s="52"/>
      <c r="O16" s="89" t="s">
        <v>186</v>
      </c>
      <c r="P16" s="89" t="s">
        <v>188</v>
      </c>
    </row>
    <row r="17" spans="2:16" ht="15.75" thickBot="1" x14ac:dyDescent="0.3">
      <c r="B17" s="54"/>
      <c r="C17" s="54"/>
      <c r="D17" s="54"/>
      <c r="E17" s="54"/>
      <c r="F17" s="54"/>
      <c r="G17" s="54"/>
      <c r="H17" s="54"/>
      <c r="I17" s="54"/>
      <c r="J17" s="54"/>
      <c r="K17" s="54"/>
      <c r="L17" s="106" t="s">
        <v>212</v>
      </c>
      <c r="M17" s="89" t="s">
        <v>189</v>
      </c>
      <c r="N17" s="89" t="s">
        <v>190</v>
      </c>
      <c r="O17" s="89" t="s">
        <v>187</v>
      </c>
      <c r="P17" s="89" t="s">
        <v>14</v>
      </c>
    </row>
    <row r="18" spans="2:16" ht="15.75" thickBot="1" x14ac:dyDescent="0.3">
      <c r="B18" s="141" t="s">
        <v>110</v>
      </c>
      <c r="C18" s="141"/>
      <c r="D18" s="141"/>
      <c r="E18" s="141"/>
      <c r="F18" s="141"/>
      <c r="G18" s="141"/>
      <c r="H18" s="141"/>
      <c r="I18" s="141"/>
      <c r="J18" s="141"/>
      <c r="K18" s="141"/>
      <c r="L18">
        <v>0</v>
      </c>
      <c r="M18" s="90">
        <v>42736</v>
      </c>
      <c r="N18" s="91" t="s">
        <v>140</v>
      </c>
      <c r="O18" s="53">
        <v>25000</v>
      </c>
      <c r="P18" s="53">
        <f>O18</f>
        <v>25000</v>
      </c>
    </row>
    <row r="19" spans="2:16" x14ac:dyDescent="0.25">
      <c r="L19">
        <v>1</v>
      </c>
      <c r="M19" s="90">
        <v>43101</v>
      </c>
      <c r="N19" s="91" t="s">
        <v>141</v>
      </c>
      <c r="O19" s="53">
        <f>H23</f>
        <v>54450.102122284741</v>
      </c>
      <c r="P19" s="53">
        <f>O19+(P18*(1+$H$16))</f>
        <v>80575.102122284734</v>
      </c>
    </row>
    <row r="20" spans="2:16" x14ac:dyDescent="0.25">
      <c r="C20" s="55" t="s">
        <v>111</v>
      </c>
      <c r="D20" t="s">
        <v>261</v>
      </c>
      <c r="H20" s="53">
        <f>-PV(H16,30,175000,0)</f>
        <v>2850555.495250544</v>
      </c>
      <c r="J20" s="100"/>
      <c r="L20">
        <v>2</v>
      </c>
      <c r="M20" s="90">
        <v>43466</v>
      </c>
      <c r="N20" s="91" t="s">
        <v>142</v>
      </c>
      <c r="O20" s="53">
        <f t="shared" ref="O20:O41" si="0">O19</f>
        <v>54450.102122284741</v>
      </c>
      <c r="P20" s="100">
        <f t="shared" ref="P20:P77" si="1">O20+(P19*(1+$H$16))</f>
        <v>138651.08384007227</v>
      </c>
    </row>
    <row r="21" spans="2:16" x14ac:dyDescent="0.25">
      <c r="C21" s="55" t="s">
        <v>112</v>
      </c>
      <c r="D21" t="s">
        <v>275</v>
      </c>
      <c r="H21" s="53">
        <f>-PV(H16,29,0,H20)</f>
        <v>795347.78770006367</v>
      </c>
      <c r="L21" s="104">
        <v>3</v>
      </c>
      <c r="M21" s="90">
        <v>43831</v>
      </c>
      <c r="N21" s="91" t="s">
        <v>143</v>
      </c>
      <c r="O21" s="53">
        <f t="shared" si="0"/>
        <v>54450.102122284741</v>
      </c>
      <c r="P21" s="100">
        <f t="shared" si="1"/>
        <v>199340.48473516025</v>
      </c>
    </row>
    <row r="22" spans="2:16" x14ac:dyDescent="0.25">
      <c r="C22" t="s">
        <v>113</v>
      </c>
      <c r="D22" t="s">
        <v>196</v>
      </c>
      <c r="H22" s="93">
        <f>H21-25000</f>
        <v>770347.78770006367</v>
      </c>
      <c r="L22" s="104">
        <v>4</v>
      </c>
      <c r="M22" s="90">
        <v>44197</v>
      </c>
      <c r="N22" s="91" t="s">
        <v>144</v>
      </c>
      <c r="O22" s="53">
        <f t="shared" si="0"/>
        <v>54450.102122284741</v>
      </c>
      <c r="P22" s="100">
        <f t="shared" si="1"/>
        <v>262760.90867052722</v>
      </c>
    </row>
    <row r="23" spans="2:16" x14ac:dyDescent="0.25">
      <c r="C23" s="95" t="s">
        <v>263</v>
      </c>
      <c r="D23" t="s">
        <v>277</v>
      </c>
      <c r="H23" s="53">
        <f>PMT(H16,23,-H22,0)</f>
        <v>54450.102122284741</v>
      </c>
      <c r="I23" s="55" t="s">
        <v>114</v>
      </c>
      <c r="L23" s="104">
        <v>5</v>
      </c>
      <c r="M23" s="90">
        <v>44562</v>
      </c>
      <c r="N23" s="91" t="s">
        <v>145</v>
      </c>
      <c r="O23" s="53">
        <f t="shared" si="0"/>
        <v>54450.102122284741</v>
      </c>
      <c r="P23" s="100">
        <f t="shared" si="1"/>
        <v>329035.25168298569</v>
      </c>
    </row>
    <row r="24" spans="2:16" x14ac:dyDescent="0.25">
      <c r="D24" t="s">
        <v>197</v>
      </c>
      <c r="L24" s="104">
        <v>6</v>
      </c>
      <c r="M24" s="90">
        <v>44927</v>
      </c>
      <c r="N24" s="91" t="s">
        <v>146</v>
      </c>
      <c r="O24" s="53">
        <f t="shared" si="0"/>
        <v>54450.102122284741</v>
      </c>
      <c r="P24" s="100">
        <f t="shared" si="1"/>
        <v>398291.94013100478</v>
      </c>
    </row>
    <row r="25" spans="2:16" ht="18.75" x14ac:dyDescent="0.3">
      <c r="C25" s="113"/>
      <c r="D25" s="142" t="s">
        <v>262</v>
      </c>
      <c r="E25" s="142"/>
      <c r="F25" s="142"/>
      <c r="G25" s="142"/>
      <c r="H25" s="142"/>
      <c r="I25" s="113"/>
      <c r="L25" s="104">
        <v>7</v>
      </c>
      <c r="M25" s="90">
        <v>45292</v>
      </c>
      <c r="N25" s="91" t="s">
        <v>147</v>
      </c>
      <c r="O25" s="53">
        <f t="shared" si="0"/>
        <v>54450.102122284741</v>
      </c>
      <c r="P25" s="100">
        <f t="shared" si="1"/>
        <v>470665.17955918476</v>
      </c>
    </row>
    <row r="26" spans="2:16" x14ac:dyDescent="0.25">
      <c r="C26" s="95" t="s">
        <v>111</v>
      </c>
      <c r="D26" s="113" t="s">
        <v>276</v>
      </c>
      <c r="E26" s="113"/>
      <c r="F26" s="113"/>
      <c r="G26" s="113"/>
      <c r="H26" s="100">
        <f>-PV(H16,30,175000,0,1)</f>
        <v>2978830.4925368181</v>
      </c>
      <c r="I26" s="113"/>
      <c r="L26" s="104">
        <v>8</v>
      </c>
      <c r="M26" s="90">
        <v>45658</v>
      </c>
      <c r="N26" s="91" t="s">
        <v>148</v>
      </c>
      <c r="O26" s="53">
        <f t="shared" si="0"/>
        <v>54450.102122284741</v>
      </c>
      <c r="P26" s="100">
        <f t="shared" si="1"/>
        <v>546295.21476163273</v>
      </c>
    </row>
    <row r="27" spans="2:16" x14ac:dyDescent="0.25">
      <c r="C27" s="95" t="s">
        <v>112</v>
      </c>
      <c r="D27" s="113" t="s">
        <v>275</v>
      </c>
      <c r="E27" s="113"/>
      <c r="F27" s="113"/>
      <c r="G27" s="113"/>
      <c r="H27" s="100">
        <f>-PV(H16,30,0,H26)</f>
        <v>795347.78770006378</v>
      </c>
      <c r="I27" s="113"/>
      <c r="L27" s="104">
        <v>9</v>
      </c>
      <c r="M27" s="90">
        <v>46023</v>
      </c>
      <c r="N27" s="91" t="s">
        <v>149</v>
      </c>
      <c r="O27" s="53">
        <f t="shared" si="0"/>
        <v>54450.102122284741</v>
      </c>
      <c r="P27" s="100">
        <f t="shared" si="1"/>
        <v>625328.60154819081</v>
      </c>
    </row>
    <row r="28" spans="2:16" x14ac:dyDescent="0.25">
      <c r="C28" s="113" t="s">
        <v>113</v>
      </c>
      <c r="D28" s="113" t="s">
        <v>196</v>
      </c>
      <c r="E28" s="113"/>
      <c r="F28" s="113"/>
      <c r="G28" s="113"/>
      <c r="H28" s="100">
        <f>H27-25000</f>
        <v>770347.78770006378</v>
      </c>
      <c r="I28" s="113"/>
      <c r="L28" s="104">
        <v>10</v>
      </c>
      <c r="M28" s="90">
        <v>46388</v>
      </c>
      <c r="N28" s="91" t="s">
        <v>150</v>
      </c>
      <c r="O28" s="53">
        <f t="shared" si="0"/>
        <v>54450.102122284741</v>
      </c>
      <c r="P28" s="100">
        <f t="shared" si="1"/>
        <v>707918.49074014404</v>
      </c>
    </row>
    <row r="29" spans="2:16" x14ac:dyDescent="0.25">
      <c r="C29" s="95" t="s">
        <v>263</v>
      </c>
      <c r="D29" s="113" t="s">
        <v>277</v>
      </c>
      <c r="E29" s="113"/>
      <c r="F29" s="113"/>
      <c r="G29" s="113"/>
      <c r="H29" s="100">
        <f>PMT(H16,23,-H28,0)</f>
        <v>54450.102122284741</v>
      </c>
      <c r="I29" s="95" t="s">
        <v>114</v>
      </c>
      <c r="L29" s="104">
        <v>11</v>
      </c>
      <c r="M29" s="90">
        <v>46753</v>
      </c>
      <c r="N29" s="91" t="s">
        <v>151</v>
      </c>
      <c r="O29" s="53">
        <f t="shared" si="0"/>
        <v>54450.102122284741</v>
      </c>
      <c r="P29" s="100">
        <f t="shared" si="1"/>
        <v>794224.92494573514</v>
      </c>
    </row>
    <row r="30" spans="2:16" x14ac:dyDescent="0.25">
      <c r="D30" s="113" t="s">
        <v>197</v>
      </c>
      <c r="I30" s="113"/>
      <c r="L30" s="104">
        <v>12</v>
      </c>
      <c r="M30" s="90">
        <v>47119</v>
      </c>
      <c r="N30" s="91" t="s">
        <v>152</v>
      </c>
      <c r="O30" s="53">
        <f t="shared" si="0"/>
        <v>54450.102122284741</v>
      </c>
      <c r="P30" s="100">
        <f t="shared" si="1"/>
        <v>884415.14869057783</v>
      </c>
    </row>
    <row r="31" spans="2:16" x14ac:dyDescent="0.25">
      <c r="C31" s="113"/>
      <c r="D31" s="113"/>
      <c r="E31" s="113"/>
      <c r="F31" s="113"/>
      <c r="G31" s="113"/>
      <c r="H31" s="113"/>
      <c r="I31" s="113"/>
      <c r="L31" s="104">
        <v>13</v>
      </c>
      <c r="M31" s="90">
        <v>47484</v>
      </c>
      <c r="N31" s="91" t="s">
        <v>153</v>
      </c>
      <c r="O31" s="53">
        <f t="shared" si="0"/>
        <v>54450.102122284741</v>
      </c>
      <c r="P31" s="100">
        <f t="shared" si="1"/>
        <v>978663.93250393844</v>
      </c>
    </row>
    <row r="32" spans="2:16" x14ac:dyDescent="0.25">
      <c r="L32" s="104">
        <v>14</v>
      </c>
      <c r="M32" s="90">
        <v>47849</v>
      </c>
      <c r="N32" s="91" t="s">
        <v>154</v>
      </c>
      <c r="O32" s="53">
        <f t="shared" si="0"/>
        <v>54450.102122284741</v>
      </c>
      <c r="P32" s="100">
        <f t="shared" si="1"/>
        <v>1077153.9115889003</v>
      </c>
    </row>
    <row r="33" spans="12:16" x14ac:dyDescent="0.25">
      <c r="L33" s="104">
        <v>15</v>
      </c>
      <c r="M33" s="90">
        <v>48214</v>
      </c>
      <c r="N33" s="91" t="s">
        <v>155</v>
      </c>
      <c r="O33" s="53">
        <f t="shared" si="0"/>
        <v>54450.102122284741</v>
      </c>
      <c r="P33" s="100">
        <f t="shared" si="1"/>
        <v>1180075.9397326855</v>
      </c>
    </row>
    <row r="34" spans="12:16" x14ac:dyDescent="0.25">
      <c r="L34" s="104">
        <v>16</v>
      </c>
      <c r="M34" s="90">
        <v>48580</v>
      </c>
      <c r="N34" s="91" t="s">
        <v>156</v>
      </c>
      <c r="O34" s="53">
        <f t="shared" si="0"/>
        <v>54450.102122284741</v>
      </c>
      <c r="P34" s="100">
        <f t="shared" si="1"/>
        <v>1287629.4591429408</v>
      </c>
    </row>
    <row r="35" spans="12:16" x14ac:dyDescent="0.25">
      <c r="L35" s="104">
        <v>17</v>
      </c>
      <c r="M35" s="90">
        <v>48945</v>
      </c>
      <c r="N35" s="91" t="s">
        <v>157</v>
      </c>
      <c r="O35" s="53">
        <f t="shared" si="0"/>
        <v>54450.102122284741</v>
      </c>
      <c r="P35" s="100">
        <f t="shared" si="1"/>
        <v>1400022.8869266578</v>
      </c>
    </row>
    <row r="36" spans="12:16" x14ac:dyDescent="0.25">
      <c r="L36" s="104">
        <v>18</v>
      </c>
      <c r="M36" s="90">
        <v>49310</v>
      </c>
      <c r="N36" s="91" t="s">
        <v>158</v>
      </c>
      <c r="O36" s="53">
        <f t="shared" si="0"/>
        <v>54450.102122284741</v>
      </c>
      <c r="P36" s="100">
        <f t="shared" si="1"/>
        <v>1517474.0189606419</v>
      </c>
    </row>
    <row r="37" spans="12:16" x14ac:dyDescent="0.25">
      <c r="L37" s="104">
        <v>19</v>
      </c>
      <c r="M37" s="90">
        <v>49675</v>
      </c>
      <c r="N37" s="91" t="s">
        <v>159</v>
      </c>
      <c r="O37" s="53">
        <f t="shared" si="0"/>
        <v>54450.102122284741</v>
      </c>
      <c r="P37" s="100">
        <f t="shared" si="1"/>
        <v>1640210.4519361553</v>
      </c>
    </row>
    <row r="38" spans="12:16" x14ac:dyDescent="0.25">
      <c r="L38" s="104">
        <v>20</v>
      </c>
      <c r="M38" s="90">
        <v>50041</v>
      </c>
      <c r="N38" s="91" t="s">
        <v>160</v>
      </c>
      <c r="O38" s="53">
        <f t="shared" si="0"/>
        <v>54450.102122284741</v>
      </c>
      <c r="P38" s="100">
        <f t="shared" si="1"/>
        <v>1768470.0243955669</v>
      </c>
    </row>
    <row r="39" spans="12:16" x14ac:dyDescent="0.25">
      <c r="L39" s="104">
        <v>21</v>
      </c>
      <c r="M39" s="90">
        <v>50406</v>
      </c>
      <c r="N39" s="91" t="s">
        <v>161</v>
      </c>
      <c r="O39" s="53">
        <f t="shared" si="0"/>
        <v>54450.102122284741</v>
      </c>
      <c r="P39" s="100">
        <f t="shared" si="1"/>
        <v>1902501.277615652</v>
      </c>
    </row>
    <row r="40" spans="12:16" x14ac:dyDescent="0.25">
      <c r="L40" s="104">
        <v>22</v>
      </c>
      <c r="M40" s="90">
        <v>50771</v>
      </c>
      <c r="N40" s="91" t="s">
        <v>162</v>
      </c>
      <c r="O40" s="53">
        <f t="shared" si="0"/>
        <v>54450.102122284741</v>
      </c>
      <c r="P40" s="100">
        <f t="shared" si="1"/>
        <v>2042563.9372306408</v>
      </c>
    </row>
    <row r="41" spans="12:16" x14ac:dyDescent="0.25">
      <c r="L41" s="104">
        <v>23</v>
      </c>
      <c r="M41" s="90">
        <v>51136</v>
      </c>
      <c r="N41" s="91" t="s">
        <v>163</v>
      </c>
      <c r="O41" s="53">
        <f t="shared" si="0"/>
        <v>54450.102122284741</v>
      </c>
      <c r="P41" s="100">
        <f t="shared" si="1"/>
        <v>2188929.4165283046</v>
      </c>
    </row>
    <row r="42" spans="12:16" x14ac:dyDescent="0.25">
      <c r="L42" s="104">
        <v>24</v>
      </c>
      <c r="M42" s="90">
        <v>51502</v>
      </c>
      <c r="N42" s="91" t="s">
        <v>164</v>
      </c>
      <c r="O42" s="100">
        <v>0</v>
      </c>
      <c r="P42" s="100">
        <f t="shared" si="1"/>
        <v>2287431.2402720782</v>
      </c>
    </row>
    <row r="43" spans="12:16" x14ac:dyDescent="0.25">
      <c r="L43" s="104">
        <v>25</v>
      </c>
      <c r="M43" s="90">
        <v>51867</v>
      </c>
      <c r="N43" s="91" t="s">
        <v>165</v>
      </c>
      <c r="O43" s="100">
        <v>0</v>
      </c>
      <c r="P43" s="100">
        <f t="shared" si="1"/>
        <v>2390365.6460843217</v>
      </c>
    </row>
    <row r="44" spans="12:16" x14ac:dyDescent="0.25">
      <c r="L44" s="104">
        <v>26</v>
      </c>
      <c r="M44" s="90">
        <v>52232</v>
      </c>
      <c r="N44" s="91" t="s">
        <v>191</v>
      </c>
      <c r="O44" s="100">
        <v>0</v>
      </c>
      <c r="P44" s="100">
        <f t="shared" si="1"/>
        <v>2497932.1001581158</v>
      </c>
    </row>
    <row r="45" spans="12:16" x14ac:dyDescent="0.25">
      <c r="L45" s="104">
        <v>27</v>
      </c>
      <c r="M45" s="90">
        <v>52597</v>
      </c>
      <c r="N45" s="91" t="s">
        <v>191</v>
      </c>
      <c r="O45" s="100">
        <v>0</v>
      </c>
      <c r="P45" s="100">
        <f t="shared" si="1"/>
        <v>2610339.0446652309</v>
      </c>
    </row>
    <row r="46" spans="12:16" x14ac:dyDescent="0.25">
      <c r="L46" s="104">
        <v>28</v>
      </c>
      <c r="M46" s="90">
        <v>52963</v>
      </c>
      <c r="N46" s="91" t="s">
        <v>191</v>
      </c>
      <c r="O46" s="100">
        <v>0</v>
      </c>
      <c r="P46" s="100">
        <f t="shared" si="1"/>
        <v>2727804.301675166</v>
      </c>
    </row>
    <row r="47" spans="12:16" x14ac:dyDescent="0.25">
      <c r="L47" s="104">
        <v>29</v>
      </c>
      <c r="M47" s="90">
        <v>53328</v>
      </c>
      <c r="N47" s="91" t="s">
        <v>191</v>
      </c>
      <c r="O47" s="100">
        <v>0</v>
      </c>
      <c r="P47" s="100">
        <f t="shared" si="1"/>
        <v>2850555.4952505482</v>
      </c>
    </row>
    <row r="48" spans="12:16" x14ac:dyDescent="0.25">
      <c r="L48" s="133">
        <v>30</v>
      </c>
      <c r="M48" s="90">
        <v>53693</v>
      </c>
      <c r="N48" s="91" t="s">
        <v>166</v>
      </c>
      <c r="O48" s="100">
        <v>-175000</v>
      </c>
      <c r="P48" s="100">
        <f t="shared" si="1"/>
        <v>2803830.4925368228</v>
      </c>
    </row>
    <row r="49" spans="8:16" x14ac:dyDescent="0.25">
      <c r="L49" s="104">
        <v>31</v>
      </c>
      <c r="M49" s="90">
        <v>54058</v>
      </c>
      <c r="N49" s="91" t="s">
        <v>167</v>
      </c>
      <c r="O49" s="100">
        <v>-175000</v>
      </c>
      <c r="P49" s="100">
        <f t="shared" si="1"/>
        <v>2755002.8647009796</v>
      </c>
    </row>
    <row r="50" spans="8:16" x14ac:dyDescent="0.25">
      <c r="L50" s="104">
        <v>32</v>
      </c>
      <c r="M50" s="90">
        <v>54424</v>
      </c>
      <c r="N50" s="91" t="s">
        <v>168</v>
      </c>
      <c r="O50" s="100">
        <v>-175000</v>
      </c>
      <c r="P50" s="100">
        <f t="shared" si="1"/>
        <v>2703977.9936125237</v>
      </c>
    </row>
    <row r="51" spans="8:16" x14ac:dyDescent="0.25">
      <c r="L51" s="133">
        <v>33</v>
      </c>
      <c r="M51" s="90">
        <v>54789</v>
      </c>
      <c r="N51" s="91" t="s">
        <v>169</v>
      </c>
      <c r="O51" s="100">
        <v>-175000</v>
      </c>
      <c r="P51" s="100">
        <f t="shared" si="1"/>
        <v>2650657.003325087</v>
      </c>
    </row>
    <row r="52" spans="8:16" x14ac:dyDescent="0.25">
      <c r="L52" s="104">
        <v>34</v>
      </c>
      <c r="M52" s="90">
        <v>55154</v>
      </c>
      <c r="N52" s="91" t="s">
        <v>170</v>
      </c>
      <c r="O52" s="100">
        <v>-175000</v>
      </c>
      <c r="P52" s="100">
        <f t="shared" si="1"/>
        <v>2594936.5684747156</v>
      </c>
    </row>
    <row r="53" spans="8:16" x14ac:dyDescent="0.25">
      <c r="L53" s="104">
        <v>35</v>
      </c>
      <c r="M53" s="90">
        <v>55519</v>
      </c>
      <c r="N53" s="91" t="s">
        <v>171</v>
      </c>
      <c r="O53" s="100">
        <v>-175000</v>
      </c>
      <c r="P53" s="100">
        <f t="shared" si="1"/>
        <v>2536708.7140560774</v>
      </c>
    </row>
    <row r="54" spans="8:16" x14ac:dyDescent="0.25">
      <c r="L54" s="104">
        <v>36</v>
      </c>
      <c r="M54" s="90">
        <v>55885</v>
      </c>
      <c r="N54" s="91" t="s">
        <v>172</v>
      </c>
      <c r="O54" s="100">
        <v>-175000</v>
      </c>
      <c r="P54" s="100">
        <f t="shared" si="1"/>
        <v>2475860.6061886009</v>
      </c>
    </row>
    <row r="55" spans="8:16" x14ac:dyDescent="0.25">
      <c r="H55" s="100"/>
      <c r="L55" s="113">
        <v>37</v>
      </c>
      <c r="M55" s="90">
        <v>56250</v>
      </c>
      <c r="N55" s="91" t="s">
        <v>173</v>
      </c>
      <c r="O55" s="100">
        <v>-175000</v>
      </c>
      <c r="P55" s="100">
        <f t="shared" si="1"/>
        <v>2412274.3334670877</v>
      </c>
    </row>
    <row r="56" spans="8:16" x14ac:dyDescent="0.25">
      <c r="L56" s="113">
        <v>38</v>
      </c>
      <c r="M56" s="90">
        <v>56615</v>
      </c>
      <c r="N56" s="91" t="s">
        <v>174</v>
      </c>
      <c r="O56" s="100">
        <v>-175000</v>
      </c>
      <c r="P56" s="100">
        <f t="shared" si="1"/>
        <v>2345826.6784731066</v>
      </c>
    </row>
    <row r="57" spans="8:16" x14ac:dyDescent="0.25">
      <c r="L57" s="113">
        <v>39</v>
      </c>
      <c r="M57" s="90">
        <v>56980</v>
      </c>
      <c r="N57" s="91" t="s">
        <v>175</v>
      </c>
      <c r="O57" s="100">
        <v>-175000</v>
      </c>
      <c r="P57" s="100">
        <f t="shared" si="1"/>
        <v>2276388.879004396</v>
      </c>
    </row>
    <row r="58" spans="8:16" x14ac:dyDescent="0.25">
      <c r="L58" s="113">
        <v>40</v>
      </c>
      <c r="M58" s="90">
        <v>57346</v>
      </c>
      <c r="N58" s="91" t="s">
        <v>176</v>
      </c>
      <c r="O58" s="100">
        <v>-175000</v>
      </c>
      <c r="P58" s="100">
        <f t="shared" si="1"/>
        <v>2203826.3785595936</v>
      </c>
    </row>
    <row r="59" spans="8:16" x14ac:dyDescent="0.25">
      <c r="L59" s="113">
        <v>41</v>
      </c>
      <c r="M59" s="90">
        <v>57711</v>
      </c>
      <c r="N59" s="91" t="s">
        <v>177</v>
      </c>
      <c r="O59" s="100">
        <v>-175000</v>
      </c>
      <c r="P59" s="100">
        <f t="shared" si="1"/>
        <v>2127998.5655947751</v>
      </c>
    </row>
    <row r="60" spans="8:16" x14ac:dyDescent="0.25">
      <c r="L60" s="113">
        <v>42</v>
      </c>
      <c r="M60" s="90">
        <v>58076</v>
      </c>
      <c r="N60" s="91" t="s">
        <v>178</v>
      </c>
      <c r="O60" s="100">
        <v>-175000</v>
      </c>
      <c r="P60" s="100">
        <f t="shared" si="1"/>
        <v>2048758.5010465397</v>
      </c>
    </row>
    <row r="61" spans="8:16" x14ac:dyDescent="0.25">
      <c r="L61" s="113">
        <v>43</v>
      </c>
      <c r="M61" s="90">
        <v>58441</v>
      </c>
      <c r="N61" s="91" t="s">
        <v>179</v>
      </c>
      <c r="O61" s="100">
        <v>-175000</v>
      </c>
      <c r="P61" s="100">
        <f t="shared" si="1"/>
        <v>1965952.6335936338</v>
      </c>
    </row>
    <row r="62" spans="8:16" x14ac:dyDescent="0.25">
      <c r="L62" s="113">
        <v>44</v>
      </c>
      <c r="M62" s="90">
        <v>58807</v>
      </c>
      <c r="N62" s="91" t="s">
        <v>180</v>
      </c>
      <c r="O62" s="100">
        <v>-175000</v>
      </c>
      <c r="P62" s="100">
        <f t="shared" si="1"/>
        <v>1879420.5021053471</v>
      </c>
    </row>
    <row r="63" spans="8:16" x14ac:dyDescent="0.25">
      <c r="L63" s="113">
        <v>45</v>
      </c>
      <c r="M63" s="90">
        <v>59172</v>
      </c>
      <c r="N63" s="91" t="s">
        <v>181</v>
      </c>
      <c r="O63" s="100">
        <v>-175000</v>
      </c>
      <c r="P63" s="100">
        <f t="shared" si="1"/>
        <v>1788994.4247000876</v>
      </c>
    </row>
    <row r="64" spans="8:16" x14ac:dyDescent="0.25">
      <c r="L64" s="113">
        <v>46</v>
      </c>
      <c r="M64" s="90">
        <v>59537</v>
      </c>
      <c r="N64" s="91" t="s">
        <v>182</v>
      </c>
      <c r="O64" s="100">
        <v>-175000</v>
      </c>
      <c r="P64" s="100">
        <f t="shared" si="1"/>
        <v>1694499.1738115915</v>
      </c>
    </row>
    <row r="65" spans="12:16" x14ac:dyDescent="0.25">
      <c r="L65" s="113">
        <v>47</v>
      </c>
      <c r="M65" s="90">
        <v>59902</v>
      </c>
      <c r="N65" s="91" t="s">
        <v>183</v>
      </c>
      <c r="O65" s="100">
        <v>-175000</v>
      </c>
      <c r="P65" s="100">
        <f t="shared" si="1"/>
        <v>1595751.636633113</v>
      </c>
    </row>
    <row r="66" spans="12:16" x14ac:dyDescent="0.25">
      <c r="L66" s="113">
        <v>48</v>
      </c>
      <c r="M66" s="90">
        <v>60268</v>
      </c>
      <c r="N66" s="91" t="s">
        <v>184</v>
      </c>
      <c r="O66" s="100">
        <v>-175000</v>
      </c>
      <c r="P66" s="100">
        <f t="shared" si="1"/>
        <v>1492560.460281603</v>
      </c>
    </row>
    <row r="67" spans="12:16" x14ac:dyDescent="0.25">
      <c r="L67" s="113">
        <v>49</v>
      </c>
      <c r="M67" s="90">
        <v>60633</v>
      </c>
      <c r="N67" s="91" t="s">
        <v>185</v>
      </c>
      <c r="O67" s="100">
        <v>-175000</v>
      </c>
      <c r="P67" s="100">
        <f t="shared" si="1"/>
        <v>1384725.680994275</v>
      </c>
    </row>
    <row r="68" spans="12:16" x14ac:dyDescent="0.25">
      <c r="L68" s="113">
        <v>50</v>
      </c>
      <c r="M68" s="90">
        <v>60998</v>
      </c>
      <c r="N68" s="91" t="s">
        <v>198</v>
      </c>
      <c r="O68" s="100">
        <v>-175000</v>
      </c>
      <c r="P68" s="100">
        <f t="shared" si="1"/>
        <v>1272038.3366390173</v>
      </c>
    </row>
    <row r="69" spans="12:16" x14ac:dyDescent="0.25">
      <c r="L69" s="113">
        <v>51</v>
      </c>
      <c r="M69" s="90">
        <v>61363</v>
      </c>
      <c r="N69" s="91" t="s">
        <v>199</v>
      </c>
      <c r="O69" s="100">
        <v>-175000</v>
      </c>
      <c r="P69" s="100">
        <f t="shared" si="1"/>
        <v>1154280.0617877729</v>
      </c>
    </row>
    <row r="70" spans="12:16" x14ac:dyDescent="0.25">
      <c r="L70" s="113">
        <v>52</v>
      </c>
      <c r="M70" s="90">
        <v>61729</v>
      </c>
      <c r="N70" s="91" t="s">
        <v>200</v>
      </c>
      <c r="O70" s="100">
        <v>-175000</v>
      </c>
      <c r="P70" s="100">
        <f t="shared" si="1"/>
        <v>1031222.6645682226</v>
      </c>
    </row>
    <row r="71" spans="12:16" x14ac:dyDescent="0.25">
      <c r="L71" s="113">
        <v>53</v>
      </c>
      <c r="M71" s="90">
        <v>62094</v>
      </c>
      <c r="N71" s="91" t="s">
        <v>201</v>
      </c>
      <c r="O71" s="100">
        <v>-175000</v>
      </c>
      <c r="P71" s="100">
        <f t="shared" si="1"/>
        <v>902627.68447379256</v>
      </c>
    </row>
    <row r="72" spans="12:16" x14ac:dyDescent="0.25">
      <c r="L72" s="113">
        <v>54</v>
      </c>
      <c r="M72" s="90">
        <v>62459</v>
      </c>
      <c r="N72" s="91" t="s">
        <v>202</v>
      </c>
      <c r="O72" s="100">
        <v>-175000</v>
      </c>
      <c r="P72" s="100">
        <f t="shared" si="1"/>
        <v>768245.93027511321</v>
      </c>
    </row>
    <row r="73" spans="12:16" x14ac:dyDescent="0.25">
      <c r="L73" s="113">
        <v>55</v>
      </c>
      <c r="M73" s="90">
        <v>62824</v>
      </c>
      <c r="N73" s="91" t="s">
        <v>256</v>
      </c>
      <c r="O73" s="100">
        <v>-175000</v>
      </c>
      <c r="P73" s="100">
        <f t="shared" si="1"/>
        <v>627816.99713749322</v>
      </c>
    </row>
    <row r="74" spans="12:16" x14ac:dyDescent="0.25">
      <c r="L74" s="113">
        <v>56</v>
      </c>
      <c r="M74" s="90">
        <v>63190</v>
      </c>
      <c r="N74" s="91" t="s">
        <v>257</v>
      </c>
      <c r="O74" s="100">
        <v>-175000</v>
      </c>
      <c r="P74" s="100">
        <f t="shared" si="1"/>
        <v>481068.76200868038</v>
      </c>
    </row>
    <row r="75" spans="12:16" x14ac:dyDescent="0.25">
      <c r="L75" s="113">
        <v>57</v>
      </c>
      <c r="M75" s="90">
        <v>63555</v>
      </c>
      <c r="N75" s="91" t="s">
        <v>258</v>
      </c>
      <c r="O75" s="100">
        <v>-175000</v>
      </c>
      <c r="P75" s="100">
        <f t="shared" si="1"/>
        <v>327716.85629907099</v>
      </c>
    </row>
    <row r="76" spans="12:16" x14ac:dyDescent="0.25">
      <c r="L76" s="113">
        <v>58</v>
      </c>
      <c r="M76" s="90">
        <v>63920</v>
      </c>
      <c r="N76" s="91" t="s">
        <v>259</v>
      </c>
      <c r="O76" s="100">
        <v>-175000</v>
      </c>
      <c r="P76" s="100">
        <f t="shared" si="1"/>
        <v>167464.11483252916</v>
      </c>
    </row>
    <row r="77" spans="12:16" x14ac:dyDescent="0.25">
      <c r="L77" s="113">
        <v>59</v>
      </c>
      <c r="M77" s="90">
        <v>64285</v>
      </c>
      <c r="N77" s="91" t="s">
        <v>260</v>
      </c>
      <c r="O77" s="100">
        <v>-175000</v>
      </c>
      <c r="P77" s="100">
        <f t="shared" si="1"/>
        <v>-7.0431269705295563E-9</v>
      </c>
    </row>
    <row r="78" spans="12:16" x14ac:dyDescent="0.25">
      <c r="L78" s="113"/>
      <c r="M78" s="90"/>
      <c r="O78" s="113"/>
      <c r="P78" s="100"/>
    </row>
    <row r="79" spans="12:16" x14ac:dyDescent="0.25">
      <c r="L79" s="113"/>
      <c r="M79" s="90"/>
      <c r="O79" s="113"/>
      <c r="P79" s="100"/>
    </row>
    <row r="80" spans="12:16" x14ac:dyDescent="0.25">
      <c r="L80" s="113"/>
      <c r="M80" s="90"/>
      <c r="O80" s="113"/>
      <c r="P80" s="100"/>
    </row>
    <row r="81" spans="13:16" x14ac:dyDescent="0.25">
      <c r="M81" s="90"/>
      <c r="O81" s="100"/>
      <c r="P81" s="100"/>
    </row>
    <row r="82" spans="13:16" x14ac:dyDescent="0.25">
      <c r="M82" s="90"/>
      <c r="O82" s="100"/>
      <c r="P82" s="100"/>
    </row>
    <row r="83" spans="13:16" x14ac:dyDescent="0.25">
      <c r="M83" s="90"/>
      <c r="O83" s="100"/>
      <c r="P83" s="100"/>
    </row>
    <row r="84" spans="13:16" x14ac:dyDescent="0.25">
      <c r="M84" s="90"/>
      <c r="O84" s="100"/>
      <c r="P84" s="100"/>
    </row>
    <row r="85" spans="13:16" x14ac:dyDescent="0.25">
      <c r="M85" s="90"/>
      <c r="O85" s="100"/>
      <c r="P85" s="100"/>
    </row>
  </sheetData>
  <mergeCells count="2">
    <mergeCell ref="B18:K18"/>
    <mergeCell ref="D25:H25"/>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145" zoomScaleNormal="145" workbookViewId="0"/>
  </sheetViews>
  <sheetFormatPr defaultColWidth="9.140625" defaultRowHeight="15" x14ac:dyDescent="0.25"/>
  <cols>
    <col min="1" max="1" width="4.28515625" style="113" customWidth="1"/>
    <col min="2" max="5" width="9.140625" style="113"/>
    <col min="6" max="6" width="13.28515625" style="113" bestFit="1" customWidth="1"/>
    <col min="7" max="7" width="12" style="113" customWidth="1"/>
    <col min="8" max="8" width="12.140625" style="113" customWidth="1"/>
    <col min="9" max="9" width="14.140625" style="113" customWidth="1"/>
    <col min="10" max="16384" width="9.140625" style="113"/>
  </cols>
  <sheetData>
    <row r="2" spans="2:11" x14ac:dyDescent="0.25">
      <c r="B2" s="105" t="s">
        <v>216</v>
      </c>
    </row>
    <row r="4" spans="2:11" x14ac:dyDescent="0.25">
      <c r="B4" s="105" t="s">
        <v>61</v>
      </c>
    </row>
    <row r="5" spans="2:11" s="105" customFormat="1" x14ac:dyDescent="0.25">
      <c r="B5" s="7" t="s">
        <v>8</v>
      </c>
      <c r="F5" s="115">
        <v>235000</v>
      </c>
    </row>
    <row r="6" spans="2:11" s="105" customFormat="1" x14ac:dyDescent="0.25">
      <c r="B6" s="7" t="s">
        <v>217</v>
      </c>
      <c r="F6" s="116">
        <v>3</v>
      </c>
    </row>
    <row r="7" spans="2:11" s="105" customFormat="1" x14ac:dyDescent="0.25">
      <c r="B7" s="7" t="s">
        <v>9</v>
      </c>
      <c r="F7" s="117">
        <v>4.5999999999999999E-2</v>
      </c>
    </row>
    <row r="8" spans="2:11" s="105" customFormat="1" x14ac:dyDescent="0.25">
      <c r="B8" s="7"/>
      <c r="F8" s="118"/>
    </row>
    <row r="9" spans="2:11" s="105" customFormat="1" x14ac:dyDescent="0.25">
      <c r="B9" s="7" t="s">
        <v>218</v>
      </c>
      <c r="F9" s="119">
        <v>35</v>
      </c>
    </row>
    <row r="10" spans="2:11" s="105" customFormat="1" x14ac:dyDescent="0.25">
      <c r="B10" s="7"/>
    </row>
    <row r="11" spans="2:11" x14ac:dyDescent="0.25">
      <c r="B11" s="120" t="s">
        <v>219</v>
      </c>
    </row>
    <row r="12" spans="2:11" x14ac:dyDescent="0.25">
      <c r="B12" s="120" t="s">
        <v>220</v>
      </c>
    </row>
    <row r="13" spans="2:11" x14ac:dyDescent="0.25">
      <c r="B13" s="120" t="s">
        <v>221</v>
      </c>
    </row>
    <row r="14" spans="2:11" x14ac:dyDescent="0.25">
      <c r="B14" s="120" t="s">
        <v>222</v>
      </c>
    </row>
    <row r="15" spans="2:11" ht="15.75" thickBot="1" x14ac:dyDescent="0.3"/>
    <row r="16" spans="2:11" ht="15.75" thickBot="1" x14ac:dyDescent="0.3">
      <c r="B16" s="143" t="s">
        <v>223</v>
      </c>
      <c r="C16" s="143"/>
      <c r="D16" s="143"/>
      <c r="E16" s="143"/>
      <c r="F16" s="143"/>
      <c r="G16" s="143"/>
      <c r="H16" s="143"/>
      <c r="I16" s="143"/>
      <c r="J16" s="143"/>
      <c r="K16" s="143"/>
    </row>
    <row r="18" spans="2:11" x14ac:dyDescent="0.25">
      <c r="B18" s="121" t="s">
        <v>224</v>
      </c>
    </row>
    <row r="19" spans="2:11" ht="15.75" thickBot="1" x14ac:dyDescent="0.3"/>
    <row r="20" spans="2:11" ht="15.75" thickBot="1" x14ac:dyDescent="0.3">
      <c r="C20" s="105" t="s">
        <v>225</v>
      </c>
      <c r="I20" s="48">
        <f>PMT(F7/12,F6*12,-F5)</f>
        <v>7001.0345505260975</v>
      </c>
    </row>
    <row r="21" spans="2:11" ht="15.75" thickBot="1" x14ac:dyDescent="0.3">
      <c r="C21" s="105" t="s">
        <v>226</v>
      </c>
      <c r="I21" s="48">
        <f>I28</f>
        <v>53.367539193797164</v>
      </c>
    </row>
    <row r="22" spans="2:11" ht="15.75" thickBot="1" x14ac:dyDescent="0.3">
      <c r="C22" s="105" t="s">
        <v>227</v>
      </c>
      <c r="I22" s="48">
        <f t="shared" ref="I22:I23" si="0">I29</f>
        <v>6947.6670113323007</v>
      </c>
    </row>
    <row r="23" spans="2:11" ht="15.75" thickBot="1" x14ac:dyDescent="0.3">
      <c r="C23" s="105" t="s">
        <v>228</v>
      </c>
      <c r="I23" s="48">
        <f t="shared" si="0"/>
        <v>6974.2997348756535</v>
      </c>
    </row>
    <row r="24" spans="2:11" ht="15.75" thickBot="1" x14ac:dyDescent="0.3"/>
    <row r="25" spans="2:11" ht="15.75" thickBot="1" x14ac:dyDescent="0.3">
      <c r="B25" s="143" t="s">
        <v>110</v>
      </c>
      <c r="C25" s="143"/>
      <c r="D25" s="143"/>
      <c r="E25" s="143"/>
      <c r="F25" s="143"/>
      <c r="G25" s="143"/>
      <c r="H25" s="143"/>
      <c r="I25" s="143"/>
      <c r="J25" s="143"/>
      <c r="K25" s="143"/>
    </row>
    <row r="27" spans="2:11" x14ac:dyDescent="0.25">
      <c r="C27" s="113" t="s">
        <v>229</v>
      </c>
      <c r="I27" s="100">
        <f>PV(F7/12,F6*12-F9+1,-I20)</f>
        <v>13921.966746207954</v>
      </c>
    </row>
    <row r="28" spans="2:11" x14ac:dyDescent="0.25">
      <c r="C28" s="113" t="s">
        <v>230</v>
      </c>
      <c r="I28" s="100">
        <f>I27*F7/12</f>
        <v>53.367539193797164</v>
      </c>
    </row>
    <row r="29" spans="2:11" x14ac:dyDescent="0.25">
      <c r="C29" s="113" t="s">
        <v>231</v>
      </c>
      <c r="I29" s="100">
        <f>I20-I28</f>
        <v>6947.6670113323007</v>
      </c>
    </row>
    <row r="30" spans="2:11" x14ac:dyDescent="0.25">
      <c r="C30" s="113" t="s">
        <v>232</v>
      </c>
      <c r="I30" s="100">
        <f>I27-I29</f>
        <v>6974.2997348756535</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2"/>
  <sheetViews>
    <sheetView zoomScale="115" zoomScaleNormal="115" workbookViewId="0"/>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98</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9" t="s">
        <v>2</v>
      </c>
    </row>
    <row r="12" spans="2:8" ht="14.65" customHeight="1" x14ac:dyDescent="0.25">
      <c r="C12" s="109" t="s">
        <v>91</v>
      </c>
    </row>
    <row r="13" spans="2:8" ht="14.65" customHeight="1" x14ac:dyDescent="0.25">
      <c r="C13" s="109" t="s">
        <v>264</v>
      </c>
    </row>
    <row r="14" spans="2:8" ht="14.65" customHeight="1" x14ac:dyDescent="0.25">
      <c r="C14" s="109" t="s">
        <v>99</v>
      </c>
    </row>
    <row r="15" spans="2:8" ht="15.75" thickBot="1" x14ac:dyDescent="0.3"/>
    <row r="16" spans="2:8" ht="15.75" thickBot="1" x14ac:dyDescent="0.3">
      <c r="D16" s="60" t="s">
        <v>90</v>
      </c>
      <c r="E16" s="61" t="s">
        <v>4</v>
      </c>
      <c r="F16" s="58"/>
    </row>
    <row r="17" spans="3:10" x14ac:dyDescent="0.25">
      <c r="D17" s="62">
        <v>1</v>
      </c>
      <c r="E17" s="65">
        <v>0</v>
      </c>
      <c r="F17" s="58"/>
    </row>
    <row r="18" spans="3:10" x14ac:dyDescent="0.25">
      <c r="D18" s="64">
        <v>2</v>
      </c>
      <c r="E18" s="65">
        <v>0</v>
      </c>
      <c r="F18" s="58"/>
    </row>
    <row r="19" spans="3:10" ht="15.75" thickBot="1" x14ac:dyDescent="0.3">
      <c r="D19" s="64">
        <v>3</v>
      </c>
      <c r="E19" s="97">
        <v>0</v>
      </c>
    </row>
    <row r="20" spans="3:10" ht="15.75" thickBot="1" x14ac:dyDescent="0.3">
      <c r="D20" s="64">
        <v>4</v>
      </c>
      <c r="E20" s="96">
        <v>7500</v>
      </c>
      <c r="F20" s="58" t="s">
        <v>5</v>
      </c>
      <c r="H20" s="123"/>
    </row>
    <row r="21" spans="3:10" x14ac:dyDescent="0.25">
      <c r="D21" s="64">
        <v>5</v>
      </c>
      <c r="E21" s="97">
        <f t="shared" ref="E21:E24" si="0">E20</f>
        <v>7500</v>
      </c>
      <c r="H21" s="123"/>
      <c r="J21" s="123"/>
    </row>
    <row r="22" spans="3:10" x14ac:dyDescent="0.25">
      <c r="D22" s="64">
        <v>6</v>
      </c>
      <c r="E22" s="97">
        <f t="shared" si="0"/>
        <v>7500</v>
      </c>
      <c r="F22" s="58"/>
      <c r="H22" s="123"/>
      <c r="J22" s="123"/>
    </row>
    <row r="23" spans="3:10" x14ac:dyDescent="0.25">
      <c r="D23" s="64">
        <v>7</v>
      </c>
      <c r="E23" s="97">
        <f t="shared" si="0"/>
        <v>7500</v>
      </c>
      <c r="F23" s="58"/>
      <c r="H23" s="123"/>
      <c r="J23" s="123"/>
    </row>
    <row r="24" spans="3:10" x14ac:dyDescent="0.25">
      <c r="D24" s="64">
        <v>8</v>
      </c>
      <c r="E24" s="97">
        <f t="shared" si="0"/>
        <v>7500</v>
      </c>
      <c r="F24" s="58"/>
      <c r="H24" s="123"/>
      <c r="J24" s="123"/>
    </row>
    <row r="25" spans="3:10" ht="15.75" thickBot="1" x14ac:dyDescent="0.3">
      <c r="D25" s="66">
        <v>9</v>
      </c>
      <c r="E25" s="65">
        <f t="shared" ref="E25" si="1">E24</f>
        <v>7500</v>
      </c>
      <c r="F25" s="58"/>
      <c r="H25" s="123"/>
      <c r="J25" s="123"/>
    </row>
    <row r="26" spans="3:10" s="57" customFormat="1" ht="15.75" thickBot="1" x14ac:dyDescent="0.3">
      <c r="D26" s="59">
        <v>10</v>
      </c>
      <c r="E26" s="63">
        <v>10000</v>
      </c>
      <c r="F26" s="58" t="s">
        <v>5</v>
      </c>
      <c r="H26" s="123"/>
      <c r="J26" s="123"/>
    </row>
    <row r="27" spans="3:10" x14ac:dyDescent="0.25">
      <c r="J27" s="123"/>
    </row>
    <row r="28" spans="3:10" x14ac:dyDescent="0.25">
      <c r="C28" t="s">
        <v>92</v>
      </c>
      <c r="E28" s="3">
        <v>7.4999999999999997E-2</v>
      </c>
      <c r="I28" s="4"/>
    </row>
    <row r="30" spans="3:10" x14ac:dyDescent="0.25">
      <c r="C30" t="s">
        <v>93</v>
      </c>
    </row>
    <row r="31" spans="3:10" x14ac:dyDescent="0.25">
      <c r="C31" t="s">
        <v>94</v>
      </c>
    </row>
    <row r="32" spans="3:10" x14ac:dyDescent="0.25">
      <c r="C32" s="67" t="s">
        <v>280</v>
      </c>
    </row>
    <row r="33" spans="2:8" ht="15.75" thickBot="1" x14ac:dyDescent="0.3"/>
    <row r="34" spans="2:8" ht="15.75" thickBot="1" x14ac:dyDescent="0.3">
      <c r="C34" t="s">
        <v>95</v>
      </c>
      <c r="D34" s="144">
        <f>PV(E28,3,0,PV(E28,7,E20,E26-E20))</f>
        <v>33189.648941567531</v>
      </c>
      <c r="E34" s="145"/>
    </row>
    <row r="36" spans="2:8" x14ac:dyDescent="0.25">
      <c r="B36" s="71" t="s">
        <v>1</v>
      </c>
      <c r="C36" s="68" t="s">
        <v>115</v>
      </c>
      <c r="D36" s="68"/>
      <c r="E36" s="68"/>
      <c r="F36" s="68"/>
      <c r="G36" s="68"/>
      <c r="H36" s="68"/>
    </row>
    <row r="37" spans="2:8" s="67" customFormat="1" x14ac:dyDescent="0.25">
      <c r="B37" s="68"/>
      <c r="C37" s="73" t="s">
        <v>116</v>
      </c>
      <c r="D37" s="68"/>
      <c r="E37" s="68"/>
      <c r="F37" s="68"/>
      <c r="G37" s="68"/>
      <c r="H37" s="68"/>
    </row>
    <row r="38" spans="2:8" s="67" customFormat="1" x14ac:dyDescent="0.25">
      <c r="B38" s="68"/>
      <c r="C38" s="73" t="s">
        <v>241</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117</v>
      </c>
      <c r="D40" s="68"/>
      <c r="E40" s="68"/>
      <c r="F40" s="75">
        <v>9.6000000000000002E-2</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118</v>
      </c>
      <c r="F42" s="77" t="s">
        <v>119</v>
      </c>
      <c r="G42" s="68"/>
      <c r="H42" s="68"/>
    </row>
    <row r="43" spans="2:8" s="67" customFormat="1" x14ac:dyDescent="0.25">
      <c r="B43" s="68"/>
      <c r="C43" s="68"/>
      <c r="D43" s="68"/>
      <c r="E43" s="70" t="s">
        <v>79</v>
      </c>
      <c r="F43" s="76">
        <f>FV(F40/4,4,0,-1)-1</f>
        <v>9.9511627775999978E-2</v>
      </c>
      <c r="G43" s="68"/>
      <c r="H43" s="68"/>
    </row>
    <row r="44" spans="2:8" s="67" customFormat="1" x14ac:dyDescent="0.25">
      <c r="B44" s="68"/>
      <c r="C44" s="68"/>
      <c r="D44" s="68"/>
      <c r="E44" s="70" t="s">
        <v>80</v>
      </c>
      <c r="F44" s="76">
        <f>FV(F40/12,12,0,-1)-1</f>
        <v>0.10033869371614701</v>
      </c>
      <c r="G44" s="68"/>
      <c r="H44" s="68"/>
    </row>
    <row r="45" spans="2:8" s="67" customFormat="1" ht="15.75" thickBot="1" x14ac:dyDescent="0.3">
      <c r="B45" s="68"/>
      <c r="C45" s="68"/>
      <c r="D45" s="68"/>
      <c r="E45" s="70" t="s">
        <v>120</v>
      </c>
      <c r="F45" s="76">
        <f>FV(F40/365,365,0,-1)-1</f>
        <v>0.10074516981165438</v>
      </c>
      <c r="G45" s="68"/>
      <c r="H45" s="68"/>
    </row>
    <row r="46" spans="2:8" s="67" customFormat="1" ht="15.75" thickBot="1" x14ac:dyDescent="0.3">
      <c r="B46" s="68"/>
      <c r="C46" s="68"/>
      <c r="D46" s="68"/>
      <c r="E46" s="78" t="s">
        <v>121</v>
      </c>
      <c r="F46" s="72">
        <f>EXP(F40)-1</f>
        <v>0.10075906399397883</v>
      </c>
      <c r="G46" s="68"/>
      <c r="H46" s="68"/>
    </row>
    <row r="47" spans="2:8" s="67" customFormat="1" x14ac:dyDescent="0.25"/>
    <row r="48" spans="2:8" s="67" customFormat="1" x14ac:dyDescent="0.25"/>
    <row r="49" spans="2:7" x14ac:dyDescent="0.25">
      <c r="B49" s="55" t="s">
        <v>6</v>
      </c>
      <c r="C49" t="s">
        <v>76</v>
      </c>
    </row>
    <row r="50" spans="2:7" s="94" customFormat="1" ht="15.75" thickBot="1" x14ac:dyDescent="0.3">
      <c r="B50" s="95"/>
    </row>
    <row r="51" spans="2:7" s="113" customFormat="1" ht="15.75" thickBot="1" x14ac:dyDescent="0.3">
      <c r="B51" s="95"/>
      <c r="D51" s="60" t="s">
        <v>90</v>
      </c>
      <c r="E51" s="61" t="s">
        <v>4</v>
      </c>
    </row>
    <row r="52" spans="2:7" s="113" customFormat="1" x14ac:dyDescent="0.25">
      <c r="B52" s="95"/>
      <c r="D52" s="124">
        <v>0</v>
      </c>
      <c r="E52" s="125">
        <v>3000</v>
      </c>
      <c r="G52" s="128"/>
    </row>
    <row r="53" spans="2:7" s="113" customFormat="1" x14ac:dyDescent="0.25">
      <c r="B53" s="95"/>
      <c r="D53" s="64">
        <v>1</v>
      </c>
      <c r="E53" s="97">
        <v>2500</v>
      </c>
      <c r="G53" s="128"/>
    </row>
    <row r="54" spans="2:7" s="113" customFormat="1" x14ac:dyDescent="0.25">
      <c r="B54" s="95"/>
      <c r="D54" s="64">
        <v>2</v>
      </c>
      <c r="E54" s="97">
        <v>2500</v>
      </c>
      <c r="G54" s="128"/>
    </row>
    <row r="55" spans="2:7" s="113" customFormat="1" x14ac:dyDescent="0.25">
      <c r="B55" s="95"/>
      <c r="D55" s="64">
        <v>3</v>
      </c>
      <c r="E55" s="97">
        <v>2500</v>
      </c>
      <c r="G55" s="128"/>
    </row>
    <row r="56" spans="2:7" s="113" customFormat="1" x14ac:dyDescent="0.25">
      <c r="B56" s="95"/>
      <c r="D56" s="64">
        <v>4</v>
      </c>
      <c r="E56" s="97">
        <v>2500</v>
      </c>
      <c r="G56" s="128"/>
    </row>
    <row r="57" spans="2:7" s="113" customFormat="1" x14ac:dyDescent="0.25">
      <c r="B57" s="95"/>
      <c r="D57" s="64">
        <v>5</v>
      </c>
      <c r="E57" s="127" t="s">
        <v>242</v>
      </c>
      <c r="G57" s="128"/>
    </row>
    <row r="58" spans="2:7" s="113" customFormat="1" x14ac:dyDescent="0.25">
      <c r="B58" s="95"/>
      <c r="D58" s="64">
        <v>6</v>
      </c>
      <c r="E58" s="127" t="s">
        <v>242</v>
      </c>
      <c r="G58" s="128"/>
    </row>
    <row r="59" spans="2:7" s="113" customFormat="1" x14ac:dyDescent="0.25">
      <c r="B59" s="95"/>
      <c r="D59" s="64">
        <v>7</v>
      </c>
      <c r="E59" s="127" t="s">
        <v>242</v>
      </c>
      <c r="G59" s="128"/>
    </row>
    <row r="60" spans="2:7" s="113" customFormat="1" x14ac:dyDescent="0.25">
      <c r="B60" s="95"/>
      <c r="D60" s="64">
        <v>8</v>
      </c>
      <c r="E60" s="97">
        <v>2500</v>
      </c>
      <c r="G60" s="128"/>
    </row>
    <row r="61" spans="2:7" s="113" customFormat="1" x14ac:dyDescent="0.25">
      <c r="B61" s="95"/>
      <c r="D61" s="64">
        <v>9</v>
      </c>
      <c r="E61" s="97">
        <v>2500</v>
      </c>
      <c r="G61" s="128"/>
    </row>
    <row r="62" spans="2:7" s="113" customFormat="1" ht="15.75" thickBot="1" x14ac:dyDescent="0.3">
      <c r="B62" s="95"/>
      <c r="D62" s="59">
        <v>10</v>
      </c>
      <c r="E62" s="126">
        <v>1000</v>
      </c>
      <c r="G62" s="128"/>
    </row>
    <row r="63" spans="2:7" s="113" customFormat="1" x14ac:dyDescent="0.25">
      <c r="B63" s="95"/>
      <c r="G63" s="128"/>
    </row>
    <row r="64" spans="2:7" x14ac:dyDescent="0.25">
      <c r="C64" s="98" t="s">
        <v>304</v>
      </c>
    </row>
    <row r="65" spans="2:15" ht="14.65" customHeight="1" x14ac:dyDescent="0.25">
      <c r="C65" s="109" t="s">
        <v>265</v>
      </c>
      <c r="J65" s="100"/>
    </row>
    <row r="66" spans="2:15" x14ac:dyDescent="0.25">
      <c r="C66" s="98" t="s">
        <v>77</v>
      </c>
      <c r="L66" s="4"/>
    </row>
    <row r="67" spans="2:15" x14ac:dyDescent="0.25">
      <c r="C67" s="98" t="s">
        <v>251</v>
      </c>
    </row>
    <row r="68" spans="2:15" s="113" customFormat="1" x14ac:dyDescent="0.25">
      <c r="C68" s="113" t="s">
        <v>252</v>
      </c>
    </row>
    <row r="69" spans="2:15" s="113" customFormat="1" x14ac:dyDescent="0.25">
      <c r="C69" s="113" t="s">
        <v>281</v>
      </c>
    </row>
    <row r="70" spans="2:15" s="79" customFormat="1" x14ac:dyDescent="0.25">
      <c r="O70" s="100"/>
    </row>
    <row r="71" spans="2:15" x14ac:dyDescent="0.25">
      <c r="J71" s="98"/>
      <c r="K71" s="98"/>
      <c r="L71" s="99"/>
      <c r="N71" s="79"/>
      <c r="O71" s="100"/>
    </row>
    <row r="72" spans="2:15" x14ac:dyDescent="0.25">
      <c r="C72" s="98" t="s">
        <v>250</v>
      </c>
      <c r="D72" s="98"/>
      <c r="E72" s="99">
        <f>3000+PV(0.08,4,-2500)+PV(0.08,7,0,PV(0.08,3,2500,-1500))</f>
        <v>14344.805217279109</v>
      </c>
      <c r="J72" s="98"/>
      <c r="K72" s="98"/>
      <c r="L72" s="99"/>
      <c r="O72" s="113"/>
    </row>
    <row r="73" spans="2:15" x14ac:dyDescent="0.25">
      <c r="C73" s="98" t="s">
        <v>96</v>
      </c>
      <c r="D73" s="98"/>
      <c r="E73" s="99">
        <f>25000-E72</f>
        <v>10655.194782720891</v>
      </c>
      <c r="J73" s="98"/>
      <c r="K73" s="98"/>
      <c r="L73" s="99"/>
      <c r="O73" s="113"/>
    </row>
    <row r="74" spans="2:15" x14ac:dyDescent="0.25">
      <c r="C74" s="98" t="s">
        <v>279</v>
      </c>
      <c r="D74" s="98"/>
      <c r="E74" s="99">
        <f>FV(0.08,4,0,-E73)</f>
        <v>14496.274868541375</v>
      </c>
      <c r="J74" s="98"/>
      <c r="K74" s="98"/>
      <c r="L74" s="99"/>
      <c r="O74" s="113"/>
    </row>
    <row r="75" spans="2:15" x14ac:dyDescent="0.25">
      <c r="C75" s="98" t="s">
        <v>97</v>
      </c>
      <c r="D75" s="98"/>
      <c r="E75" s="99">
        <f>PMT(0.08,3,-E74)</f>
        <v>5625.0404778215852</v>
      </c>
      <c r="J75" s="98"/>
      <c r="K75" s="98"/>
      <c r="L75" s="99"/>
      <c r="O75" s="113"/>
    </row>
    <row r="76" spans="2:15" x14ac:dyDescent="0.25">
      <c r="J76" s="98"/>
      <c r="K76" s="98"/>
      <c r="L76" s="99"/>
    </row>
    <row r="77" spans="2:15" x14ac:dyDescent="0.25">
      <c r="H77" s="98"/>
      <c r="J77" s="98"/>
      <c r="K77" s="98"/>
      <c r="L77" s="99"/>
    </row>
    <row r="78" spans="2:15" x14ac:dyDescent="0.25">
      <c r="F78" s="40"/>
      <c r="O78" s="100"/>
    </row>
    <row r="79" spans="2:15" x14ac:dyDescent="0.25">
      <c r="B79" s="55" t="s">
        <v>7</v>
      </c>
      <c r="C79" t="s">
        <v>20</v>
      </c>
    </row>
    <row r="80" spans="2:15" ht="17.25" x14ac:dyDescent="0.4">
      <c r="C80" t="s">
        <v>282</v>
      </c>
      <c r="I80" s="18" t="s">
        <v>3</v>
      </c>
      <c r="J80" s="18" t="s">
        <v>17</v>
      </c>
      <c r="K80" s="18" t="s">
        <v>18</v>
      </c>
      <c r="L80" s="18" t="s">
        <v>28</v>
      </c>
      <c r="M80" s="18" t="s">
        <v>19</v>
      </c>
      <c r="N80" s="18"/>
    </row>
    <row r="81" spans="2:13" x14ac:dyDescent="0.25">
      <c r="C81" t="s">
        <v>243</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6</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18</v>
      </c>
      <c r="E85" s="20">
        <f>VLOOKUP(E83,I81:M90,3)</f>
        <v>3900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5" t="s">
        <v>127</v>
      </c>
      <c r="C93" s="113" t="s">
        <v>203</v>
      </c>
      <c r="D93" s="113"/>
      <c r="E93" s="113"/>
      <c r="F93" s="113"/>
      <c r="G93" s="113"/>
      <c r="H93" s="113"/>
      <c r="I93" s="113"/>
    </row>
    <row r="94" spans="2:13" x14ac:dyDescent="0.25">
      <c r="B94" s="113"/>
      <c r="C94" s="113" t="s">
        <v>284</v>
      </c>
      <c r="D94" s="113"/>
      <c r="E94" s="113"/>
      <c r="F94" s="113"/>
      <c r="G94" s="113"/>
      <c r="H94" s="113"/>
      <c r="I94" s="113"/>
    </row>
    <row r="95" spans="2:13" ht="15.75" thickBot="1" x14ac:dyDescent="0.3">
      <c r="B95" s="113"/>
      <c r="C95" s="113"/>
      <c r="D95" s="113"/>
      <c r="E95" s="113"/>
      <c r="F95" s="113"/>
      <c r="G95" s="113"/>
      <c r="H95" s="113"/>
      <c r="I95" s="113"/>
    </row>
    <row r="96" spans="2:13" ht="15.75" thickBot="1" x14ac:dyDescent="0.3">
      <c r="B96" s="113"/>
      <c r="C96" s="134" t="s">
        <v>3</v>
      </c>
      <c r="D96" s="135" t="s">
        <v>17</v>
      </c>
      <c r="E96" s="113"/>
      <c r="F96" s="136"/>
      <c r="G96" s="113"/>
      <c r="H96" s="113"/>
      <c r="I96" s="113"/>
    </row>
    <row r="97" spans="2:9" x14ac:dyDescent="0.25">
      <c r="B97" s="113"/>
      <c r="C97" s="129">
        <v>2006</v>
      </c>
      <c r="D97" s="130">
        <v>926000</v>
      </c>
      <c r="E97" s="113"/>
      <c r="F97" s="113"/>
      <c r="G97" s="113"/>
      <c r="H97" s="113"/>
      <c r="I97" s="113"/>
    </row>
    <row r="98" spans="2:9" x14ac:dyDescent="0.25">
      <c r="B98" s="113"/>
      <c r="C98" s="80">
        <v>2007</v>
      </c>
      <c r="D98" s="84">
        <v>948500</v>
      </c>
      <c r="E98" s="113"/>
      <c r="F98" s="113"/>
      <c r="G98" s="113"/>
      <c r="H98" s="113"/>
      <c r="I98" s="113"/>
    </row>
    <row r="99" spans="2:9" x14ac:dyDescent="0.25">
      <c r="B99" s="113"/>
      <c r="C99" s="80">
        <v>2008</v>
      </c>
      <c r="D99" s="84">
        <v>1014000</v>
      </c>
      <c r="E99" s="113"/>
      <c r="F99" s="113"/>
      <c r="G99" s="113"/>
      <c r="H99" s="113"/>
      <c r="I99" s="113"/>
    </row>
    <row r="100" spans="2:9" x14ac:dyDescent="0.25">
      <c r="B100" s="113"/>
      <c r="C100" s="80">
        <v>2009</v>
      </c>
      <c r="D100" s="84">
        <v>850000</v>
      </c>
      <c r="E100" s="113"/>
      <c r="F100" s="113"/>
      <c r="G100" s="113"/>
      <c r="H100" s="113"/>
      <c r="I100" s="113"/>
    </row>
    <row r="101" spans="2:9" x14ac:dyDescent="0.25">
      <c r="B101" s="113"/>
      <c r="C101" s="80">
        <v>2010</v>
      </c>
      <c r="D101" s="84">
        <v>875000</v>
      </c>
      <c r="E101" s="113"/>
      <c r="F101" s="113"/>
      <c r="G101" s="113"/>
      <c r="H101" s="113"/>
      <c r="I101" s="113"/>
    </row>
    <row r="102" spans="2:9" x14ac:dyDescent="0.25">
      <c r="B102" s="113"/>
      <c r="C102" s="80">
        <v>2011</v>
      </c>
      <c r="D102" s="84">
        <v>965000</v>
      </c>
      <c r="E102" s="113"/>
      <c r="F102" s="113"/>
      <c r="G102" s="113"/>
      <c r="H102" s="113"/>
      <c r="I102" s="113"/>
    </row>
    <row r="103" spans="2:9" x14ac:dyDescent="0.25">
      <c r="B103" s="113"/>
      <c r="C103" s="137">
        <v>2012</v>
      </c>
      <c r="D103" s="138">
        <v>1040000</v>
      </c>
      <c r="E103" s="113"/>
      <c r="F103" s="113"/>
      <c r="G103" s="113"/>
      <c r="H103" s="113"/>
      <c r="I103" s="113"/>
    </row>
    <row r="104" spans="2:9" x14ac:dyDescent="0.25">
      <c r="B104" s="113"/>
      <c r="C104" s="137">
        <v>2013</v>
      </c>
      <c r="D104" s="138">
        <v>1355000</v>
      </c>
      <c r="E104" s="113"/>
      <c r="F104" s="113"/>
      <c r="G104" s="113"/>
      <c r="H104" s="113"/>
      <c r="I104" s="113"/>
    </row>
    <row r="105" spans="2:9" x14ac:dyDescent="0.25">
      <c r="B105" s="113"/>
      <c r="C105" s="137">
        <v>2014</v>
      </c>
      <c r="D105" s="138">
        <v>1216000</v>
      </c>
      <c r="E105" s="113"/>
      <c r="F105" s="113"/>
      <c r="G105" s="113"/>
      <c r="H105" s="113"/>
      <c r="I105" s="113"/>
    </row>
    <row r="106" spans="2:9" s="113" customFormat="1" x14ac:dyDescent="0.25">
      <c r="C106" s="137">
        <v>2015</v>
      </c>
      <c r="D106" s="138">
        <v>1395000</v>
      </c>
    </row>
    <row r="107" spans="2:9" s="113" customFormat="1" x14ac:dyDescent="0.25">
      <c r="C107" s="137">
        <v>2016</v>
      </c>
      <c r="D107" s="138">
        <v>1450000</v>
      </c>
    </row>
    <row r="108" spans="2:9" ht="15.75" thickBot="1" x14ac:dyDescent="0.3">
      <c r="B108" s="113"/>
      <c r="C108" s="81">
        <v>2017</v>
      </c>
      <c r="D108" s="82">
        <f>TREND(D97:D107,C97:C107,C108)</f>
        <v>1431518.1818181723</v>
      </c>
      <c r="E108" s="113"/>
      <c r="F108" s="113"/>
      <c r="G108" s="113"/>
      <c r="H108" s="113"/>
      <c r="I108" s="113"/>
    </row>
    <row r="109" spans="2:9" x14ac:dyDescent="0.25">
      <c r="B109" s="113"/>
      <c r="C109" s="113"/>
      <c r="D109" s="113"/>
      <c r="E109" s="113"/>
      <c r="F109" s="113"/>
      <c r="G109" s="113"/>
      <c r="H109" s="113"/>
      <c r="I109" s="113"/>
    </row>
    <row r="110" spans="2:9" x14ac:dyDescent="0.25">
      <c r="B110" s="95" t="s">
        <v>128</v>
      </c>
      <c r="C110" s="113" t="s">
        <v>253</v>
      </c>
      <c r="D110" s="113"/>
      <c r="E110" s="113"/>
      <c r="F110" s="113"/>
      <c r="G110" s="113"/>
      <c r="H110" s="113"/>
      <c r="I110" s="113"/>
    </row>
    <row r="111" spans="2:9" x14ac:dyDescent="0.25">
      <c r="B111" s="113"/>
      <c r="C111" s="113" t="s">
        <v>266</v>
      </c>
      <c r="D111" s="113"/>
      <c r="E111" s="113"/>
      <c r="F111" s="113"/>
      <c r="G111" s="113"/>
      <c r="H111" s="113"/>
      <c r="I111" s="113"/>
    </row>
    <row r="112" spans="2:9" x14ac:dyDescent="0.25">
      <c r="B112" s="113"/>
      <c r="C112" s="113" t="s">
        <v>267</v>
      </c>
      <c r="D112" s="113"/>
      <c r="E112" s="113"/>
      <c r="F112" s="113"/>
      <c r="G112" s="113"/>
      <c r="H112" s="113"/>
      <c r="I112" s="113"/>
    </row>
    <row r="113" spans="2:9" x14ac:dyDescent="0.25">
      <c r="B113" s="113"/>
      <c r="C113" s="113" t="s">
        <v>283</v>
      </c>
      <c r="D113" s="113"/>
      <c r="E113" s="113"/>
      <c r="F113" s="113"/>
      <c r="G113" s="113"/>
      <c r="H113" s="113"/>
      <c r="I113" s="113"/>
    </row>
    <row r="114" spans="2:9" x14ac:dyDescent="0.25">
      <c r="B114" s="113"/>
      <c r="C114" s="113"/>
      <c r="D114" s="113"/>
      <c r="E114" s="113"/>
      <c r="F114" s="113"/>
      <c r="G114" s="113"/>
      <c r="H114" s="113"/>
      <c r="I114" s="113"/>
    </row>
    <row r="115" spans="2:9" x14ac:dyDescent="0.25">
      <c r="B115" s="113"/>
      <c r="C115" s="113"/>
      <c r="D115" s="113"/>
      <c r="E115" s="113"/>
      <c r="F115" s="113"/>
      <c r="G115" s="113"/>
      <c r="H115" s="113"/>
      <c r="I115" s="113"/>
    </row>
    <row r="116" spans="2:9" x14ac:dyDescent="0.25">
      <c r="B116" s="113"/>
      <c r="C116" s="113"/>
      <c r="D116" s="113"/>
      <c r="E116" s="113"/>
      <c r="F116" s="113"/>
      <c r="G116" s="113"/>
      <c r="H116" s="113"/>
      <c r="I116" s="113"/>
    </row>
    <row r="117" spans="2:9" x14ac:dyDescent="0.25">
      <c r="B117" s="113"/>
      <c r="C117" s="113"/>
      <c r="D117" s="113"/>
      <c r="E117" s="113"/>
      <c r="F117" s="113"/>
      <c r="G117" s="113"/>
      <c r="H117" s="113"/>
      <c r="I117" s="113"/>
    </row>
    <row r="118" spans="2:9" x14ac:dyDescent="0.25">
      <c r="B118" s="113"/>
      <c r="C118" s="113"/>
      <c r="D118" s="113"/>
      <c r="E118" s="113"/>
      <c r="F118" s="113"/>
      <c r="G118" s="113"/>
      <c r="H118" s="113"/>
      <c r="I118" s="113"/>
    </row>
    <row r="119" spans="2:9" x14ac:dyDescent="0.25">
      <c r="B119" s="113"/>
      <c r="C119" s="113"/>
      <c r="D119" s="113"/>
      <c r="E119" s="113"/>
      <c r="F119" s="113"/>
      <c r="G119" s="113"/>
      <c r="H119" s="113"/>
      <c r="I119" s="113"/>
    </row>
    <row r="120" spans="2:9" x14ac:dyDescent="0.25">
      <c r="B120" s="113"/>
      <c r="C120" s="113"/>
      <c r="D120" s="113"/>
      <c r="E120" s="113"/>
      <c r="F120" s="113"/>
      <c r="G120" s="113"/>
      <c r="H120" s="113"/>
      <c r="I120" s="113"/>
    </row>
    <row r="121" spans="2:9" x14ac:dyDescent="0.25">
      <c r="B121" s="113"/>
      <c r="C121" s="113"/>
      <c r="D121" s="113"/>
      <c r="E121" s="113"/>
      <c r="F121" s="113"/>
      <c r="G121" s="113"/>
      <c r="H121" s="113"/>
      <c r="I121" s="113"/>
    </row>
    <row r="122" spans="2:9" x14ac:dyDescent="0.25">
      <c r="B122" s="113"/>
      <c r="C122" s="113"/>
      <c r="D122" s="113"/>
      <c r="E122" s="113"/>
      <c r="F122" s="113"/>
      <c r="G122" s="113"/>
      <c r="H122" s="113"/>
      <c r="I122" s="113"/>
    </row>
    <row r="123" spans="2:9" x14ac:dyDescent="0.25">
      <c r="B123" s="113"/>
      <c r="C123" s="113"/>
      <c r="D123" s="113"/>
      <c r="E123" s="113"/>
      <c r="F123" s="113"/>
      <c r="G123" s="113"/>
      <c r="H123" s="113"/>
      <c r="I123" s="113"/>
    </row>
    <row r="124" spans="2:9" x14ac:dyDescent="0.25">
      <c r="B124" s="113"/>
      <c r="C124" s="113"/>
      <c r="D124" s="113"/>
      <c r="E124" s="113"/>
      <c r="F124" s="113"/>
      <c r="G124" s="113"/>
      <c r="H124" s="113"/>
      <c r="I124" s="113"/>
    </row>
    <row r="125" spans="2:9" x14ac:dyDescent="0.25">
      <c r="B125" s="113"/>
      <c r="C125" s="113"/>
      <c r="D125" s="113"/>
      <c r="E125" s="113"/>
      <c r="F125" s="113"/>
      <c r="G125" s="113"/>
      <c r="H125" s="113"/>
      <c r="I125" s="113"/>
    </row>
    <row r="126" spans="2:9" x14ac:dyDescent="0.25">
      <c r="B126" s="113"/>
      <c r="C126" s="113"/>
      <c r="D126" s="113"/>
      <c r="E126" s="113"/>
      <c r="F126" s="113"/>
      <c r="G126" s="113"/>
      <c r="H126" s="113"/>
      <c r="I126" s="113"/>
    </row>
    <row r="127" spans="2:9" x14ac:dyDescent="0.25">
      <c r="B127" s="113"/>
      <c r="C127" s="113"/>
      <c r="D127" s="113"/>
      <c r="E127" s="113"/>
      <c r="F127" s="113"/>
      <c r="G127" s="113"/>
      <c r="H127" s="113"/>
      <c r="I127" s="113"/>
    </row>
    <row r="128" spans="2:9" x14ac:dyDescent="0.25">
      <c r="B128" s="113"/>
      <c r="C128" s="113"/>
      <c r="D128" s="113"/>
      <c r="E128" s="113"/>
      <c r="F128" s="113"/>
      <c r="G128" s="113"/>
      <c r="H128" s="113"/>
      <c r="I128" s="113"/>
    </row>
    <row r="129" spans="2:9" x14ac:dyDescent="0.25">
      <c r="B129" s="113"/>
      <c r="C129" s="113"/>
      <c r="D129" s="113"/>
      <c r="E129" s="113"/>
      <c r="F129" s="113"/>
      <c r="G129" s="113"/>
      <c r="H129" s="113"/>
      <c r="I129" s="113"/>
    </row>
    <row r="130" spans="2:9" x14ac:dyDescent="0.25">
      <c r="B130" s="113"/>
      <c r="C130" s="113"/>
      <c r="D130" s="113"/>
      <c r="E130" s="113"/>
      <c r="F130" s="113"/>
      <c r="G130" s="113"/>
      <c r="H130" s="113"/>
      <c r="I130" s="113"/>
    </row>
    <row r="131" spans="2:9" x14ac:dyDescent="0.25">
      <c r="B131" s="113"/>
      <c r="C131" s="113"/>
      <c r="D131" s="113"/>
      <c r="E131" s="113"/>
      <c r="F131" s="113"/>
      <c r="G131" s="113"/>
      <c r="H131" s="113"/>
      <c r="I131" s="113"/>
    </row>
    <row r="132" spans="2:9" x14ac:dyDescent="0.25">
      <c r="B132" s="113"/>
      <c r="C132" s="113"/>
      <c r="D132" s="113"/>
      <c r="E132" s="113"/>
      <c r="F132" s="113"/>
      <c r="G132" s="113"/>
      <c r="H132" s="113"/>
      <c r="I132" s="113"/>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workbookViewId="0"/>
  </sheetViews>
  <sheetFormatPr defaultColWidth="8.7109375" defaultRowHeight="15" x14ac:dyDescent="0.25"/>
  <cols>
    <col min="1" max="1" width="6.28515625" style="22" customWidth="1"/>
    <col min="2" max="2" width="4" style="21" customWidth="1"/>
    <col min="3" max="3" width="40.85546875" style="21" customWidth="1"/>
    <col min="4" max="6" width="16.7109375" style="22" customWidth="1"/>
    <col min="7" max="7" width="4.140625" style="22" customWidth="1"/>
    <col min="8" max="9" width="8.7109375" style="22"/>
    <col min="10" max="10" width="10.85546875" style="22" customWidth="1"/>
    <col min="11" max="16384" width="8.7109375" style="22"/>
  </cols>
  <sheetData>
    <row r="24" spans="3:6" ht="15.75" thickBot="1" x14ac:dyDescent="0.3"/>
    <row r="25" spans="3:6" ht="19.5" customHeight="1" thickBot="1" x14ac:dyDescent="0.3">
      <c r="C25" s="146" t="s">
        <v>58</v>
      </c>
      <c r="D25" s="147"/>
      <c r="E25" s="147"/>
      <c r="F25" s="147"/>
    </row>
    <row r="26" spans="3:6" ht="16.149999999999999" customHeight="1" x14ac:dyDescent="0.25">
      <c r="C26" s="35" t="s">
        <v>285</v>
      </c>
      <c r="F26" s="103">
        <v>-0.06</v>
      </c>
    </row>
    <row r="27" spans="3:6" x14ac:dyDescent="0.25">
      <c r="C27" s="35" t="s">
        <v>57</v>
      </c>
      <c r="F27" s="103">
        <v>4.4999999999999998E-2</v>
      </c>
    </row>
    <row r="28" spans="3:6" x14ac:dyDescent="0.25">
      <c r="C28" s="35" t="s">
        <v>56</v>
      </c>
      <c r="F28" s="103">
        <v>7.4999999999999997E-2</v>
      </c>
    </row>
    <row r="29" spans="3:6" x14ac:dyDescent="0.25">
      <c r="C29" s="35" t="s">
        <v>286</v>
      </c>
      <c r="F29" s="102">
        <v>0.35</v>
      </c>
    </row>
    <row r="30" spans="3:6" x14ac:dyDescent="0.25">
      <c r="C30" s="35" t="s">
        <v>268</v>
      </c>
      <c r="F30" s="101">
        <v>125000</v>
      </c>
    </row>
    <row r="31" spans="3:6" x14ac:dyDescent="0.25">
      <c r="C31" s="35" t="s">
        <v>287</v>
      </c>
      <c r="F31" s="101">
        <v>350000</v>
      </c>
    </row>
    <row r="32" spans="3:6" x14ac:dyDescent="0.25">
      <c r="C32" s="35" t="s">
        <v>288</v>
      </c>
      <c r="F32" s="101">
        <v>60000</v>
      </c>
    </row>
    <row r="33" spans="3:12" ht="7.5" customHeight="1" thickBot="1" x14ac:dyDescent="0.3">
      <c r="C33" s="36"/>
      <c r="D33" s="25"/>
      <c r="E33" s="25"/>
      <c r="F33" s="37"/>
    </row>
    <row r="34" spans="3:12" x14ac:dyDescent="0.25">
      <c r="C34" s="35"/>
      <c r="F34" s="101"/>
    </row>
    <row r="35" spans="3:12" ht="21.75" thickBot="1" x14ac:dyDescent="0.4">
      <c r="C35" s="148" t="s">
        <v>22</v>
      </c>
      <c r="D35" s="148"/>
      <c r="E35" s="148"/>
      <c r="F35" s="148"/>
    </row>
    <row r="36" spans="3:12" ht="19.5" customHeight="1" thickBot="1" x14ac:dyDescent="0.3">
      <c r="C36" s="132"/>
      <c r="D36" s="110">
        <v>2015</v>
      </c>
      <c r="E36" s="110">
        <v>2016</v>
      </c>
      <c r="F36" s="110">
        <v>2017</v>
      </c>
    </row>
    <row r="37" spans="3:12" ht="17.25" customHeight="1" x14ac:dyDescent="0.25">
      <c r="C37" s="31" t="s">
        <v>17</v>
      </c>
      <c r="D37" s="22">
        <v>4125000</v>
      </c>
      <c r="E37" s="22">
        <v>3685000</v>
      </c>
      <c r="F37" s="42">
        <f>E37*(1+F26)</f>
        <v>3463900</v>
      </c>
    </row>
    <row r="38" spans="3:12" ht="17.25" x14ac:dyDescent="0.4">
      <c r="C38" s="34" t="s">
        <v>23</v>
      </c>
      <c r="D38" s="83">
        <v>2585000</v>
      </c>
      <c r="E38" s="83">
        <v>2340000</v>
      </c>
      <c r="F38" s="83">
        <f>$F$37*J38*0.85</f>
        <v>1857382.0333333334</v>
      </c>
      <c r="H38" s="47">
        <f>D38/D$37</f>
        <v>0.62666666666666671</v>
      </c>
      <c r="I38" s="47">
        <f>E38/E$37</f>
        <v>0.6350067842605156</v>
      </c>
      <c r="J38" s="49">
        <f>AVERAGE(H38:I38)</f>
        <v>0.63083672546359115</v>
      </c>
      <c r="L38" s="113"/>
    </row>
    <row r="39" spans="3:12" x14ac:dyDescent="0.25">
      <c r="C39" s="32" t="s">
        <v>24</v>
      </c>
      <c r="D39" s="22">
        <f>D37-D38</f>
        <v>1540000</v>
      </c>
      <c r="E39" s="22">
        <f>E37-E38</f>
        <v>1345000</v>
      </c>
      <c r="F39" s="22">
        <f>F37-F38</f>
        <v>1606517.9666666666</v>
      </c>
    </row>
    <row r="40" spans="3:12" x14ac:dyDescent="0.25">
      <c r="C40" s="31" t="s">
        <v>25</v>
      </c>
      <c r="D40" s="22">
        <v>925000</v>
      </c>
      <c r="E40" s="22">
        <v>940000</v>
      </c>
      <c r="F40" s="22">
        <f>$F$37*J40</f>
        <v>830176.66666666663</v>
      </c>
      <c r="G40" s="24"/>
      <c r="H40" s="47">
        <f>D40/D$37</f>
        <v>0.22424242424242424</v>
      </c>
      <c r="I40" s="47">
        <f>E40/E$37</f>
        <v>0.25508819538670285</v>
      </c>
      <c r="J40" s="49">
        <f>AVERAGE(H40:I40)</f>
        <v>0.23966530981456355</v>
      </c>
    </row>
    <row r="41" spans="3:12" x14ac:dyDescent="0.25">
      <c r="C41" s="31" t="s">
        <v>26</v>
      </c>
      <c r="D41" s="22">
        <v>175000</v>
      </c>
      <c r="E41" s="22">
        <v>175000</v>
      </c>
      <c r="F41" s="139">
        <v>175000</v>
      </c>
    </row>
    <row r="42" spans="3:12" ht="17.25" x14ac:dyDescent="0.4">
      <c r="C42" s="34" t="s">
        <v>27</v>
      </c>
      <c r="D42" s="83">
        <v>118000</v>
      </c>
      <c r="E42" s="83">
        <v>118000</v>
      </c>
      <c r="F42" s="83">
        <f>E42+F32</f>
        <v>178000</v>
      </c>
    </row>
    <row r="43" spans="3:12" x14ac:dyDescent="0.25">
      <c r="C43" s="32" t="s">
        <v>28</v>
      </c>
      <c r="D43" s="22">
        <f>D39-D40-D41-D42</f>
        <v>322000</v>
      </c>
      <c r="E43" s="22">
        <f>E39-E40-E41-E42</f>
        <v>112000</v>
      </c>
      <c r="F43" s="22">
        <f>F39-F40-F41-F42</f>
        <v>423341.29999999993</v>
      </c>
    </row>
    <row r="44" spans="3:12" ht="17.25" x14ac:dyDescent="0.4">
      <c r="C44" s="34" t="s">
        <v>29</v>
      </c>
      <c r="D44" s="83">
        <v>85000</v>
      </c>
      <c r="E44" s="83">
        <v>62500</v>
      </c>
      <c r="F44" s="83">
        <f>F27*E61+F28*E64</f>
        <v>15176.924999999999</v>
      </c>
    </row>
    <row r="45" spans="3:12" x14ac:dyDescent="0.25">
      <c r="C45" s="32" t="s">
        <v>30</v>
      </c>
      <c r="D45" s="22">
        <f>D43-D44</f>
        <v>237000</v>
      </c>
      <c r="E45" s="22">
        <f>E43-E44</f>
        <v>49500</v>
      </c>
      <c r="F45" s="22">
        <f>F43-F44</f>
        <v>408164.37499999994</v>
      </c>
    </row>
    <row r="46" spans="3:12" ht="17.25" x14ac:dyDescent="0.4">
      <c r="C46" s="34" t="s">
        <v>31</v>
      </c>
      <c r="D46" s="83">
        <f>D45*0.35</f>
        <v>82950</v>
      </c>
      <c r="E46" s="83">
        <f>E45*0.35</f>
        <v>17325</v>
      </c>
      <c r="F46" s="83">
        <f>F45*F29</f>
        <v>142857.53124999997</v>
      </c>
    </row>
    <row r="47" spans="3:12" ht="15.75" thickBot="1" x14ac:dyDescent="0.3">
      <c r="C47" s="33" t="s">
        <v>19</v>
      </c>
      <c r="D47" s="25">
        <f>D45-D46</f>
        <v>154050</v>
      </c>
      <c r="E47" s="25">
        <f>E45-E46</f>
        <v>32175</v>
      </c>
      <c r="F47" s="25">
        <f>F45-F46</f>
        <v>265306.84375</v>
      </c>
    </row>
    <row r="48" spans="3:12" ht="7.5" customHeight="1" x14ac:dyDescent="0.25">
      <c r="C48" s="105"/>
      <c r="D48" s="113"/>
      <c r="E48" s="113"/>
      <c r="F48" s="113"/>
    </row>
    <row r="49" spans="2:10" ht="21.75" thickBot="1" x14ac:dyDescent="0.4">
      <c r="B49" s="148" t="s">
        <v>32</v>
      </c>
      <c r="C49" s="148"/>
      <c r="D49" s="148"/>
      <c r="E49" s="148"/>
      <c r="F49" s="148"/>
    </row>
    <row r="50" spans="2:10" ht="15.75" thickBot="1" x14ac:dyDescent="0.3">
      <c r="B50" s="26" t="s">
        <v>33</v>
      </c>
      <c r="C50" s="26"/>
      <c r="D50" s="110">
        <v>2015</v>
      </c>
      <c r="E50" s="110">
        <v>2016</v>
      </c>
      <c r="F50" s="110">
        <v>2017</v>
      </c>
    </row>
    <row r="51" spans="2:10" x14ac:dyDescent="0.25">
      <c r="B51" s="27" t="s">
        <v>34</v>
      </c>
      <c r="D51" s="22">
        <f>D69-D57-D53-D52</f>
        <v>700650</v>
      </c>
      <c r="E51" s="22">
        <f>E69-E57-E53-E52</f>
        <v>763440</v>
      </c>
      <c r="F51" s="139">
        <v>725000</v>
      </c>
    </row>
    <row r="52" spans="2:10" x14ac:dyDescent="0.25">
      <c r="B52" s="27" t="s">
        <v>35</v>
      </c>
      <c r="D52" s="22">
        <v>315000</v>
      </c>
      <c r="E52" s="22">
        <v>336000</v>
      </c>
      <c r="F52" s="22">
        <f>$F$37*J52</f>
        <v>290178</v>
      </c>
      <c r="H52" s="47">
        <f>D52/D$37</f>
        <v>7.636363636363637E-2</v>
      </c>
      <c r="I52" s="47">
        <f>E52/E$37</f>
        <v>9.1180461329715065E-2</v>
      </c>
      <c r="J52" s="49">
        <f>AVERAGE(H52:I52)</f>
        <v>8.3772048846675717E-2</v>
      </c>
    </row>
    <row r="53" spans="2:10" ht="17.25" x14ac:dyDescent="0.4">
      <c r="B53" s="27" t="s">
        <v>36</v>
      </c>
      <c r="D53" s="83">
        <v>265000</v>
      </c>
      <c r="E53" s="83">
        <v>215000</v>
      </c>
      <c r="F53" s="83">
        <f>$F$37*J53</f>
        <v>212314.66666666666</v>
      </c>
      <c r="H53" s="47">
        <f>D53/D$37</f>
        <v>6.424242424242424E-2</v>
      </c>
      <c r="I53" s="47">
        <f>E53/E$37</f>
        <v>5.8344640434192671E-2</v>
      </c>
      <c r="J53" s="49">
        <f>AVERAGE(H53:I53)</f>
        <v>6.1293532338308455E-2</v>
      </c>
    </row>
    <row r="54" spans="2:10" x14ac:dyDescent="0.25">
      <c r="B54" s="28" t="s">
        <v>37</v>
      </c>
      <c r="D54" s="22">
        <f>D51+D52+D53</f>
        <v>1280650</v>
      </c>
      <c r="E54" s="22">
        <f>E51+E52+E53</f>
        <v>1314440</v>
      </c>
      <c r="F54" s="22">
        <f>SUM(F51:F53)</f>
        <v>1227492.6666666667</v>
      </c>
    </row>
    <row r="55" spans="2:10" x14ac:dyDescent="0.25">
      <c r="B55" s="27" t="s">
        <v>38</v>
      </c>
      <c r="D55" s="22">
        <v>850000</v>
      </c>
      <c r="E55" s="22">
        <v>925000</v>
      </c>
      <c r="F55" s="22">
        <f>E55+F31</f>
        <v>1275000</v>
      </c>
    </row>
    <row r="56" spans="2:10" ht="17.25" x14ac:dyDescent="0.4">
      <c r="B56" s="27" t="s">
        <v>39</v>
      </c>
      <c r="D56" s="83">
        <v>650000</v>
      </c>
      <c r="E56" s="83">
        <f>D56+E42</f>
        <v>768000</v>
      </c>
      <c r="F56" s="83">
        <f>E56+F42</f>
        <v>946000</v>
      </c>
    </row>
    <row r="57" spans="2:10" ht="17.25" x14ac:dyDescent="0.4">
      <c r="B57" s="28" t="s">
        <v>40</v>
      </c>
      <c r="D57" s="83">
        <f>D55-D56</f>
        <v>200000</v>
      </c>
      <c r="E57" s="83">
        <f>E55-E56</f>
        <v>157000</v>
      </c>
      <c r="F57" s="83">
        <f>F55-F56</f>
        <v>329000</v>
      </c>
    </row>
    <row r="58" spans="2:10" ht="15.75" thickBot="1" x14ac:dyDescent="0.3">
      <c r="B58" s="28" t="s">
        <v>41</v>
      </c>
      <c r="D58" s="22">
        <f>D54+D57</f>
        <v>1480650</v>
      </c>
      <c r="E58" s="22">
        <f>E54+E57</f>
        <v>1471440</v>
      </c>
      <c r="F58" s="22">
        <f>F54+F57</f>
        <v>1556492.6666666667</v>
      </c>
    </row>
    <row r="59" spans="2:10" ht="16.149999999999999" customHeight="1" x14ac:dyDescent="0.25">
      <c r="B59" s="26" t="s">
        <v>42</v>
      </c>
      <c r="C59" s="26"/>
      <c r="D59" s="23"/>
      <c r="E59" s="23"/>
      <c r="F59" s="23"/>
    </row>
    <row r="60" spans="2:10" x14ac:dyDescent="0.25">
      <c r="B60" s="27" t="s">
        <v>43</v>
      </c>
      <c r="D60" s="22">
        <v>225000</v>
      </c>
      <c r="E60" s="22">
        <v>205000</v>
      </c>
      <c r="F60" s="22">
        <f>$F$37*J60</f>
        <v>190819.99999999997</v>
      </c>
      <c r="H60" s="47">
        <f>D60/D$37</f>
        <v>5.4545454545454543E-2</v>
      </c>
      <c r="I60" s="47">
        <f>E60/E$37</f>
        <v>5.563093622795115E-2</v>
      </c>
      <c r="J60" s="49">
        <f>AVERAGE(H60:I60)</f>
        <v>5.5088195386702843E-2</v>
      </c>
    </row>
    <row r="61" spans="2:10" x14ac:dyDescent="0.25">
      <c r="B61" s="27" t="s">
        <v>44</v>
      </c>
      <c r="D61" s="22">
        <v>85650</v>
      </c>
      <c r="E61" s="22">
        <v>87265</v>
      </c>
      <c r="F61" s="139">
        <v>82950</v>
      </c>
    </row>
    <row r="62" spans="2:10" ht="17.25" x14ac:dyDescent="0.4">
      <c r="B62" s="27" t="s">
        <v>45</v>
      </c>
      <c r="D62" s="83">
        <v>45000</v>
      </c>
      <c r="E62" s="83">
        <v>62000</v>
      </c>
      <c r="F62" s="140">
        <v>50000</v>
      </c>
    </row>
    <row r="63" spans="2:10" x14ac:dyDescent="0.25">
      <c r="B63" s="28" t="s">
        <v>46</v>
      </c>
      <c r="D63" s="22">
        <f>D60+D61+D62</f>
        <v>355650</v>
      </c>
      <c r="E63" s="22">
        <f>E60+E61+E62</f>
        <v>354265</v>
      </c>
      <c r="F63" s="22">
        <f>SUM(F60:F62)</f>
        <v>323770</v>
      </c>
    </row>
    <row r="64" spans="2:10" ht="17.25" x14ac:dyDescent="0.4">
      <c r="B64" s="27" t="s">
        <v>47</v>
      </c>
      <c r="D64" s="83">
        <v>150000</v>
      </c>
      <c r="E64" s="83">
        <v>150000</v>
      </c>
      <c r="F64" s="140">
        <v>280000</v>
      </c>
    </row>
    <row r="65" spans="2:6" x14ac:dyDescent="0.25">
      <c r="B65" s="28" t="s">
        <v>48</v>
      </c>
      <c r="D65" s="22">
        <f>D63+D64</f>
        <v>505650</v>
      </c>
      <c r="E65" s="22">
        <f>E63+E64</f>
        <v>504265</v>
      </c>
      <c r="F65" s="22">
        <f>F63+F64</f>
        <v>603770</v>
      </c>
    </row>
    <row r="66" spans="2:6" x14ac:dyDescent="0.25">
      <c r="B66" s="27" t="s">
        <v>49</v>
      </c>
      <c r="D66" s="22">
        <v>350000</v>
      </c>
      <c r="E66" s="22">
        <v>350000</v>
      </c>
      <c r="F66" s="139">
        <v>350000</v>
      </c>
    </row>
    <row r="67" spans="2:6" ht="17.25" x14ac:dyDescent="0.4">
      <c r="B67" s="27" t="s">
        <v>50</v>
      </c>
      <c r="D67" s="83">
        <v>625000</v>
      </c>
      <c r="E67" s="83">
        <f>D67+E47-40000</f>
        <v>617175</v>
      </c>
      <c r="F67" s="83">
        <f>E67+F47-F30</f>
        <v>757481.84375</v>
      </c>
    </row>
    <row r="68" spans="2:6" ht="17.25" x14ac:dyDescent="0.4">
      <c r="B68" s="28" t="s">
        <v>51</v>
      </c>
      <c r="D68" s="83">
        <f>D66+D67</f>
        <v>975000</v>
      </c>
      <c r="E68" s="83">
        <f>E66+E67</f>
        <v>967175</v>
      </c>
      <c r="F68" s="83">
        <f>F66+F67</f>
        <v>1107481.84375</v>
      </c>
    </row>
    <row r="69" spans="2:6" ht="15.75" thickBot="1" x14ac:dyDescent="0.3">
      <c r="B69" s="29" t="s">
        <v>52</v>
      </c>
      <c r="C69" s="30"/>
      <c r="D69" s="25">
        <f>D65+D68</f>
        <v>1480650</v>
      </c>
      <c r="E69" s="25">
        <f>E65+E68</f>
        <v>1471440</v>
      </c>
      <c r="F69" s="25">
        <f>F65+F68</f>
        <v>1711251.84375</v>
      </c>
    </row>
    <row r="70" spans="2:6" ht="6" customHeight="1" x14ac:dyDescent="0.25"/>
    <row r="71" spans="2:6" ht="4.5" customHeight="1" thickBot="1" x14ac:dyDescent="0.3"/>
    <row r="72" spans="2:6" ht="15.75" thickBot="1" x14ac:dyDescent="0.3">
      <c r="C72" s="21" t="s">
        <v>289</v>
      </c>
      <c r="F72" s="20">
        <f>F69-F58</f>
        <v>154759.17708333326</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workbookViewId="0"/>
  </sheetViews>
  <sheetFormatPr defaultColWidth="9.140625" defaultRowHeight="15" x14ac:dyDescent="0.25"/>
  <cols>
    <col min="1" max="1" width="3" style="113" customWidth="1"/>
    <col min="2" max="2" width="9.140625" style="113"/>
    <col min="3" max="3" width="3.7109375" style="113" customWidth="1"/>
    <col min="4" max="4" width="3.28515625" style="113" customWidth="1"/>
    <col min="5" max="5" width="72.28515625" style="113" customWidth="1"/>
    <col min="6" max="6" width="11.42578125" style="113" bestFit="1" customWidth="1"/>
    <col min="7" max="7" width="12.140625" style="113" bestFit="1" customWidth="1"/>
    <col min="8" max="11" width="9.140625" style="113"/>
    <col min="12" max="12" width="9.42578125" style="113" bestFit="1" customWidth="1"/>
    <col min="13" max="13" width="11.7109375" style="113" customWidth="1"/>
    <col min="14" max="14" width="10.7109375" style="113" customWidth="1"/>
    <col min="15" max="16384" width="9.140625" style="113"/>
  </cols>
  <sheetData>
    <row r="2" spans="2:13" ht="18.75" x14ac:dyDescent="0.25">
      <c r="B2" s="106"/>
      <c r="E2" s="107" t="s">
        <v>213</v>
      </c>
    </row>
    <row r="3" spans="2:13" x14ac:dyDescent="0.25">
      <c r="B3" s="106"/>
      <c r="E3" s="108" t="s">
        <v>273</v>
      </c>
    </row>
    <row r="4" spans="2:13" x14ac:dyDescent="0.25">
      <c r="B4" s="106"/>
    </row>
    <row r="5" spans="2:13" x14ac:dyDescent="0.25">
      <c r="B5" s="106"/>
      <c r="E5" s="105" t="s">
        <v>125</v>
      </c>
    </row>
    <row r="6" spans="2:13" x14ac:dyDescent="0.25">
      <c r="E6" s="105" t="s">
        <v>126</v>
      </c>
    </row>
    <row r="7" spans="2:13" ht="15.75" thickBot="1" x14ac:dyDescent="0.3"/>
    <row r="8" spans="2:13" ht="15.75" thickBot="1" x14ac:dyDescent="0.3">
      <c r="B8" s="111" t="b">
        <v>1</v>
      </c>
      <c r="C8" s="112" t="s">
        <v>0</v>
      </c>
      <c r="D8" s="112"/>
      <c r="E8" s="149" t="s">
        <v>204</v>
      </c>
      <c r="L8" s="100"/>
      <c r="M8" s="100"/>
    </row>
    <row r="9" spans="2:13" ht="30.6" customHeight="1" x14ac:dyDescent="0.25">
      <c r="E9" s="149"/>
      <c r="L9" s="100"/>
      <c r="M9" s="100"/>
    </row>
    <row r="10" spans="2:13" ht="15.75" thickBot="1" x14ac:dyDescent="0.3">
      <c r="L10" s="100"/>
      <c r="M10" s="100"/>
    </row>
    <row r="11" spans="2:13" ht="18" customHeight="1" thickBot="1" x14ac:dyDescent="0.3">
      <c r="B11" s="111" t="b">
        <v>0</v>
      </c>
      <c r="C11" s="112" t="s">
        <v>1</v>
      </c>
      <c r="D11" s="112"/>
      <c r="E11" s="149" t="s">
        <v>290</v>
      </c>
      <c r="L11" s="100"/>
      <c r="M11" s="100"/>
    </row>
    <row r="12" spans="2:13" ht="18" customHeight="1" x14ac:dyDescent="0.25">
      <c r="E12" s="149"/>
      <c r="L12" s="100"/>
      <c r="M12" s="100"/>
    </row>
    <row r="13" spans="2:13" ht="15.75" thickBot="1" x14ac:dyDescent="0.3">
      <c r="L13" s="100"/>
      <c r="M13" s="100"/>
    </row>
    <row r="14" spans="2:13" ht="18" customHeight="1" thickBot="1" x14ac:dyDescent="0.3">
      <c r="B14" s="111" t="b">
        <v>1</v>
      </c>
      <c r="C14" s="112" t="s">
        <v>6</v>
      </c>
      <c r="D14" s="112"/>
      <c r="E14" s="149" t="s">
        <v>291</v>
      </c>
      <c r="L14" s="100"/>
      <c r="M14" s="100"/>
    </row>
    <row r="15" spans="2:13" x14ac:dyDescent="0.25">
      <c r="E15" s="149"/>
      <c r="L15" s="100"/>
      <c r="M15" s="100"/>
    </row>
    <row r="16" spans="2:13" ht="15.75" thickBot="1" x14ac:dyDescent="0.3">
      <c r="L16" s="100"/>
      <c r="M16" s="100"/>
    </row>
    <row r="17" spans="2:13" ht="15" customHeight="1" thickBot="1" x14ac:dyDescent="0.3">
      <c r="B17" s="111" t="b">
        <v>0</v>
      </c>
      <c r="C17" s="112" t="s">
        <v>7</v>
      </c>
      <c r="D17" s="112"/>
      <c r="E17" s="149" t="s">
        <v>292</v>
      </c>
      <c r="L17" s="100"/>
      <c r="M17" s="100"/>
    </row>
    <row r="18" spans="2:13" ht="25.9" customHeight="1" thickBot="1" x14ac:dyDescent="0.3">
      <c r="E18" s="149"/>
      <c r="L18" s="100"/>
      <c r="M18" s="100"/>
    </row>
    <row r="19" spans="2:13" ht="16.5" customHeight="1" thickBot="1" x14ac:dyDescent="0.3">
      <c r="B19" s="111" t="b">
        <v>0</v>
      </c>
      <c r="C19" s="112" t="s">
        <v>127</v>
      </c>
      <c r="D19" s="112"/>
      <c r="E19" s="149" t="s">
        <v>293</v>
      </c>
    </row>
    <row r="20" spans="2:13" ht="16.5" customHeight="1" x14ac:dyDescent="0.25">
      <c r="E20" s="149"/>
    </row>
    <row r="21" spans="2:13" ht="15.75" thickBot="1" x14ac:dyDescent="0.3"/>
    <row r="22" spans="2:13" ht="15.75" thickBot="1" x14ac:dyDescent="0.3">
      <c r="B22" s="111" t="s">
        <v>295</v>
      </c>
      <c r="C22" s="112" t="s">
        <v>128</v>
      </c>
      <c r="D22" s="112"/>
      <c r="E22" s="149" t="s">
        <v>205</v>
      </c>
    </row>
    <row r="23" spans="2:13" x14ac:dyDescent="0.25">
      <c r="E23" s="149"/>
    </row>
    <row r="24" spans="2:13" x14ac:dyDescent="0.25">
      <c r="D24" s="113" t="s">
        <v>129</v>
      </c>
      <c r="E24" s="113" t="s">
        <v>294</v>
      </c>
    </row>
    <row r="25" spans="2:13" x14ac:dyDescent="0.25">
      <c r="D25" s="113" t="s">
        <v>130</v>
      </c>
      <c r="E25" s="113" t="s">
        <v>206</v>
      </c>
    </row>
    <row r="26" spans="2:13" x14ac:dyDescent="0.25">
      <c r="D26" s="113" t="s">
        <v>131</v>
      </c>
      <c r="E26" s="113" t="s">
        <v>207</v>
      </c>
    </row>
    <row r="27" spans="2:13" x14ac:dyDescent="0.25">
      <c r="D27" s="113" t="s">
        <v>132</v>
      </c>
      <c r="E27" s="113" t="s">
        <v>208</v>
      </c>
    </row>
    <row r="28" spans="2:13" x14ac:dyDescent="0.25">
      <c r="D28" s="113" t="s">
        <v>133</v>
      </c>
      <c r="E28" s="113" t="s">
        <v>134</v>
      </c>
    </row>
    <row r="29" spans="2:13" ht="15.75" thickBot="1" x14ac:dyDescent="0.3"/>
    <row r="30" spans="2:13" ht="18.75" customHeight="1" thickBot="1" x14ac:dyDescent="0.3">
      <c r="B30" s="111" t="b">
        <v>1</v>
      </c>
      <c r="C30" s="112" t="s">
        <v>135</v>
      </c>
      <c r="D30" s="112"/>
      <c r="E30" s="149" t="s">
        <v>269</v>
      </c>
    </row>
    <row r="31" spans="2:13" ht="23.45" customHeight="1" x14ac:dyDescent="0.25">
      <c r="E31" s="149"/>
    </row>
    <row r="32" spans="2:13" ht="15.75" thickBot="1" x14ac:dyDescent="0.3"/>
    <row r="33" spans="2:5" ht="15.75" thickBot="1" x14ac:dyDescent="0.3">
      <c r="B33" s="111" t="s">
        <v>215</v>
      </c>
      <c r="C33" s="112" t="s">
        <v>136</v>
      </c>
      <c r="D33" s="112"/>
      <c r="E33" s="149" t="s">
        <v>248</v>
      </c>
    </row>
    <row r="34" spans="2:5" ht="44.25" customHeight="1" x14ac:dyDescent="0.25">
      <c r="E34" s="149"/>
    </row>
    <row r="35" spans="2:5" x14ac:dyDescent="0.25">
      <c r="D35" s="113" t="s">
        <v>129</v>
      </c>
      <c r="E35" s="113" t="s">
        <v>209</v>
      </c>
    </row>
    <row r="36" spans="2:5" x14ac:dyDescent="0.25">
      <c r="D36" s="113" t="s">
        <v>130</v>
      </c>
      <c r="E36" s="113" t="s">
        <v>210</v>
      </c>
    </row>
    <row r="37" spans="2:5" x14ac:dyDescent="0.25">
      <c r="D37" s="113" t="s">
        <v>131</v>
      </c>
      <c r="E37" s="113" t="s">
        <v>270</v>
      </c>
    </row>
    <row r="38" spans="2:5" x14ac:dyDescent="0.25">
      <c r="D38" s="113" t="s">
        <v>132</v>
      </c>
      <c r="E38" s="113" t="s">
        <v>23</v>
      </c>
    </row>
    <row r="39" spans="2:5" x14ac:dyDescent="0.25">
      <c r="D39" s="113" t="s">
        <v>133</v>
      </c>
      <c r="E39" s="113" t="s">
        <v>211</v>
      </c>
    </row>
    <row r="40" spans="2:5" ht="15.75" thickBot="1" x14ac:dyDescent="0.3"/>
    <row r="41" spans="2:5" ht="20.25" customHeight="1" thickBot="1" x14ac:dyDescent="0.3">
      <c r="B41" s="111" t="b">
        <v>1</v>
      </c>
      <c r="C41" s="112" t="s">
        <v>137</v>
      </c>
      <c r="D41" s="112"/>
      <c r="E41" s="131" t="s">
        <v>247</v>
      </c>
    </row>
    <row r="42" spans="2:5" ht="41.25" customHeight="1" x14ac:dyDescent="0.25">
      <c r="E42" s="131" t="s">
        <v>296</v>
      </c>
    </row>
    <row r="43" spans="2:5" ht="15.75" thickBot="1" x14ac:dyDescent="0.3">
      <c r="E43" s="122"/>
    </row>
    <row r="44" spans="2:5" ht="15.75" thickBot="1" x14ac:dyDescent="0.3">
      <c r="B44" s="111" t="s">
        <v>295</v>
      </c>
      <c r="C44" s="112" t="s">
        <v>138</v>
      </c>
      <c r="E44" s="114" t="s">
        <v>271</v>
      </c>
    </row>
    <row r="45" spans="2:5" x14ac:dyDescent="0.25">
      <c r="E45" s="114"/>
    </row>
    <row r="46" spans="2:5" x14ac:dyDescent="0.25">
      <c r="D46" s="113" t="s">
        <v>129</v>
      </c>
      <c r="E46" s="114" t="s">
        <v>245</v>
      </c>
    </row>
    <row r="47" spans="2:5" x14ac:dyDescent="0.25">
      <c r="D47" s="113" t="s">
        <v>130</v>
      </c>
      <c r="E47" s="122" t="s">
        <v>297</v>
      </c>
    </row>
    <row r="48" spans="2:5" x14ac:dyDescent="0.25">
      <c r="D48" s="113" t="s">
        <v>131</v>
      </c>
      <c r="E48" s="122" t="s">
        <v>298</v>
      </c>
    </row>
    <row r="49" spans="2:5" x14ac:dyDescent="0.25">
      <c r="D49" s="113" t="s">
        <v>132</v>
      </c>
      <c r="E49" s="122" t="s">
        <v>246</v>
      </c>
    </row>
    <row r="50" spans="2:5" x14ac:dyDescent="0.25">
      <c r="D50" s="113" t="s">
        <v>133</v>
      </c>
      <c r="E50" s="122" t="s">
        <v>235</v>
      </c>
    </row>
    <row r="51" spans="2:5" ht="15.75" thickBot="1" x14ac:dyDescent="0.3">
      <c r="E51" s="114"/>
    </row>
    <row r="52" spans="2:5" ht="15.75" thickBot="1" x14ac:dyDescent="0.3">
      <c r="B52" s="111" t="s">
        <v>300</v>
      </c>
      <c r="C52" s="112" t="s">
        <v>236</v>
      </c>
      <c r="E52" s="114" t="s">
        <v>299</v>
      </c>
    </row>
    <row r="53" spans="2:5" x14ac:dyDescent="0.25">
      <c r="E53" s="114"/>
    </row>
    <row r="54" spans="2:5" x14ac:dyDescent="0.25">
      <c r="D54" s="113" t="s">
        <v>129</v>
      </c>
      <c r="E54" s="114" t="s">
        <v>245</v>
      </c>
    </row>
    <row r="55" spans="2:5" x14ac:dyDescent="0.25">
      <c r="D55" s="113" t="s">
        <v>130</v>
      </c>
      <c r="E55" s="114" t="s">
        <v>244</v>
      </c>
    </row>
    <row r="56" spans="2:5" x14ac:dyDescent="0.25">
      <c r="D56" s="113" t="s">
        <v>131</v>
      </c>
      <c r="E56" s="114" t="s">
        <v>234</v>
      </c>
    </row>
    <row r="57" spans="2:5" x14ac:dyDescent="0.25">
      <c r="D57" s="113" t="s">
        <v>132</v>
      </c>
      <c r="E57" s="114" t="s">
        <v>246</v>
      </c>
    </row>
    <row r="58" spans="2:5" x14ac:dyDescent="0.25">
      <c r="D58" s="113" t="s">
        <v>133</v>
      </c>
      <c r="E58" s="114" t="s">
        <v>272</v>
      </c>
    </row>
    <row r="59" spans="2:5" ht="15.75" thickBot="1" x14ac:dyDescent="0.3">
      <c r="E59" s="114"/>
    </row>
    <row r="60" spans="2:5" ht="15.75" thickBot="1" x14ac:dyDescent="0.3">
      <c r="B60" s="111" t="b">
        <v>1</v>
      </c>
      <c r="C60" s="112" t="s">
        <v>237</v>
      </c>
      <c r="D60" s="112"/>
      <c r="E60" s="149" t="s">
        <v>249</v>
      </c>
    </row>
    <row r="61" spans="2:5" ht="18" customHeight="1" x14ac:dyDescent="0.25">
      <c r="E61" s="149"/>
    </row>
    <row r="62" spans="2:5" ht="15.75" thickBot="1" x14ac:dyDescent="0.3">
      <c r="E62" s="114"/>
    </row>
    <row r="63" spans="2:5" ht="15.75" thickBot="1" x14ac:dyDescent="0.3">
      <c r="B63" s="111" t="b">
        <v>0</v>
      </c>
      <c r="C63" s="112" t="s">
        <v>238</v>
      </c>
      <c r="D63" s="112"/>
      <c r="E63" s="149" t="s">
        <v>301</v>
      </c>
    </row>
    <row r="64" spans="2:5" x14ac:dyDescent="0.25">
      <c r="E64" s="149"/>
    </row>
    <row r="65" spans="1:8" ht="15.75" thickBot="1" x14ac:dyDescent="0.3">
      <c r="E65" s="114"/>
    </row>
    <row r="66" spans="1:8" ht="15.75" thickBot="1" x14ac:dyDescent="0.3">
      <c r="B66" s="111" t="b">
        <v>1</v>
      </c>
      <c r="C66" s="112" t="s">
        <v>239</v>
      </c>
      <c r="D66" s="112"/>
      <c r="E66" s="149" t="s">
        <v>302</v>
      </c>
    </row>
    <row r="67" spans="1:8" x14ac:dyDescent="0.25">
      <c r="E67" s="149"/>
    </row>
    <row r="68" spans="1:8" ht="15.75" thickBot="1" x14ac:dyDescent="0.3">
      <c r="E68" s="114"/>
    </row>
    <row r="69" spans="1:8" ht="15.75" thickBot="1" x14ac:dyDescent="0.3">
      <c r="B69" s="111" t="b">
        <v>1</v>
      </c>
      <c r="C69" s="112" t="s">
        <v>240</v>
      </c>
      <c r="D69" s="112"/>
      <c r="E69" s="149" t="s">
        <v>303</v>
      </c>
    </row>
    <row r="70" spans="1:8" x14ac:dyDescent="0.25">
      <c r="E70" s="149"/>
    </row>
    <row r="71" spans="1:8" x14ac:dyDescent="0.25">
      <c r="E71" s="114"/>
    </row>
    <row r="72" spans="1:8" x14ac:dyDescent="0.25">
      <c r="E72" s="114"/>
    </row>
    <row r="73" spans="1:8" x14ac:dyDescent="0.25">
      <c r="E73" s="114"/>
    </row>
    <row r="74" spans="1:8" x14ac:dyDescent="0.25">
      <c r="E74" s="114"/>
    </row>
    <row r="75" spans="1:8" x14ac:dyDescent="0.25">
      <c r="E75" s="114"/>
    </row>
    <row r="76" spans="1:8" x14ac:dyDescent="0.25">
      <c r="E76" s="114"/>
    </row>
    <row r="77" spans="1:8" ht="15.75" thickBot="1" x14ac:dyDescent="0.3"/>
    <row r="78" spans="1:8" ht="15.75" thickBot="1" x14ac:dyDescent="0.3">
      <c r="A78" s="150" t="s">
        <v>139</v>
      </c>
      <c r="B78" s="151"/>
      <c r="C78" s="151"/>
      <c r="D78" s="151"/>
      <c r="E78" s="151"/>
      <c r="F78" s="151"/>
      <c r="G78" s="151"/>
      <c r="H78" s="152"/>
    </row>
    <row r="80" spans="1:8" x14ac:dyDescent="0.25">
      <c r="A80" s="113">
        <v>1</v>
      </c>
      <c r="B80" s="70" t="b">
        <f>B8</f>
        <v>1</v>
      </c>
    </row>
    <row r="81" spans="1:2" x14ac:dyDescent="0.25">
      <c r="A81" s="113">
        <v>2</v>
      </c>
      <c r="B81" s="70" t="b">
        <f>B11</f>
        <v>0</v>
      </c>
    </row>
    <row r="82" spans="1:2" x14ac:dyDescent="0.25">
      <c r="A82" s="113">
        <v>3</v>
      </c>
      <c r="B82" s="70" t="b">
        <f>B14</f>
        <v>1</v>
      </c>
    </row>
    <row r="83" spans="1:2" x14ac:dyDescent="0.25">
      <c r="A83" s="113">
        <v>4</v>
      </c>
      <c r="B83" s="70" t="b">
        <f>B17</f>
        <v>0</v>
      </c>
    </row>
    <row r="84" spans="1:2" ht="15.75" thickBot="1" x14ac:dyDescent="0.3">
      <c r="A84" s="69">
        <v>5</v>
      </c>
      <c r="B84" s="78" t="b">
        <f>B19</f>
        <v>0</v>
      </c>
    </row>
    <row r="85" spans="1:2" x14ac:dyDescent="0.25">
      <c r="A85" s="113">
        <v>6</v>
      </c>
      <c r="B85" s="70" t="str">
        <f>B22</f>
        <v>B</v>
      </c>
    </row>
    <row r="86" spans="1:2" x14ac:dyDescent="0.25">
      <c r="A86" s="113">
        <v>7</v>
      </c>
      <c r="B86" s="70" t="b">
        <f>B30</f>
        <v>1</v>
      </c>
    </row>
    <row r="87" spans="1:2" x14ac:dyDescent="0.25">
      <c r="A87" s="113">
        <v>8</v>
      </c>
      <c r="B87" s="70" t="str">
        <f>B33</f>
        <v>C</v>
      </c>
    </row>
    <row r="88" spans="1:2" x14ac:dyDescent="0.25">
      <c r="A88" s="113">
        <v>9</v>
      </c>
      <c r="B88" s="70" t="b">
        <f>B41</f>
        <v>1</v>
      </c>
    </row>
    <row r="89" spans="1:2" ht="15.75" thickBot="1" x14ac:dyDescent="0.3">
      <c r="A89" s="69">
        <v>10</v>
      </c>
      <c r="B89" s="78" t="str">
        <f>B44</f>
        <v>B</v>
      </c>
    </row>
    <row r="90" spans="1:2" x14ac:dyDescent="0.25">
      <c r="A90" s="113">
        <v>11</v>
      </c>
      <c r="B90" s="70" t="str">
        <f>B52</f>
        <v>A</v>
      </c>
    </row>
    <row r="91" spans="1:2" x14ac:dyDescent="0.25">
      <c r="A91" s="113">
        <v>12</v>
      </c>
      <c r="B91" s="70" t="b">
        <f>B60</f>
        <v>1</v>
      </c>
    </row>
    <row r="92" spans="1:2" x14ac:dyDescent="0.25">
      <c r="A92" s="113">
        <v>13</v>
      </c>
      <c r="B92" s="70" t="b">
        <f>B63</f>
        <v>0</v>
      </c>
    </row>
    <row r="93" spans="1:2" x14ac:dyDescent="0.25">
      <c r="A93" s="113">
        <v>14</v>
      </c>
      <c r="B93" s="70" t="b">
        <f>B66</f>
        <v>1</v>
      </c>
    </row>
    <row r="94" spans="1:2" x14ac:dyDescent="0.25">
      <c r="A94" s="113">
        <v>15</v>
      </c>
      <c r="B94" s="70" t="b">
        <f>B69</f>
        <v>1</v>
      </c>
    </row>
  </sheetData>
  <mergeCells count="13">
    <mergeCell ref="E69:E70"/>
    <mergeCell ref="A78:H78"/>
    <mergeCell ref="E30:E31"/>
    <mergeCell ref="E33:E34"/>
    <mergeCell ref="E60:E61"/>
    <mergeCell ref="E63:E64"/>
    <mergeCell ref="E66:E67"/>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10 Pts</vt:lpstr>
      <vt:lpstr>P5 - 20 Pts</vt:lpstr>
      <vt:lpstr>P6 - 15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2015-10-20T18:19:48Z</cp:lastPrinted>
  <dcterms:created xsi:type="dcterms:W3CDTF">2010-01-13T00:10:02Z</dcterms:created>
  <dcterms:modified xsi:type="dcterms:W3CDTF">2017-03-30T15:08:54Z</dcterms:modified>
</cp:coreProperties>
</file>