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defaultThemeVersion="124226"/>
  <mc:AlternateContent xmlns:mc="http://schemas.openxmlformats.org/markup-compatibility/2006">
    <mc:Choice Requires="x15">
      <x15ac:absPath xmlns:x15ac="http://schemas.microsoft.com/office/spreadsheetml/2010/11/ac" url="C:\Users\dhawley\Dropbox\Class\Spring 18\Exam 2\"/>
    </mc:Choice>
  </mc:AlternateContent>
  <xr:revisionPtr revIDLastSave="0" documentId="13_ncr:1_{F0A7DCD9-74A9-4A43-B655-B1C6C7B5D0D0}" xr6:coauthVersionLast="28" xr6:coauthVersionMax="28" xr10:uidLastSave="{00000000-0000-0000-0000-000000000000}"/>
  <bookViews>
    <workbookView xWindow="11250" yWindow="90" windowWidth="20130" windowHeight="7980" tabRatio="681" xr2:uid="{00000000-000D-0000-FFFF-FFFF00000000}"/>
  </bookViews>
  <sheets>
    <sheet name="INSTRUCTIONS" sheetId="6" r:id="rId1"/>
    <sheet name="P1 - 20 Pts" sheetId="2" r:id="rId2"/>
    <sheet name="P2 - 5 Pts" sheetId="10" r:id="rId3"/>
    <sheet name="P3 - 10 Pts" sheetId="11" r:id="rId4"/>
    <sheet name="P4 10 Pts" sheetId="14" r:id="rId5"/>
    <sheet name="P5 - 20 Pts" sheetId="1" r:id="rId6"/>
    <sheet name="P6 - 15 Pts" sheetId="16" r:id="rId7"/>
    <sheet name="MC-TF 20 Pts" sheetId="15" r:id="rId8"/>
  </sheets>
  <definedNames>
    <definedName name="OLE_LINK1" localSheetId="5">'P5 - 20 Pts'!$C$65</definedName>
    <definedName name="Periods">'P1 - 20 Pts'!$O$21</definedName>
    <definedName name="Rate">'P1 - 20 Pts'!$F$23</definedName>
    <definedName name="Term">'P1 - 20 Pts'!$F$22</definedName>
  </definedNames>
  <calcPr calcId="171027"/>
</workbook>
</file>

<file path=xl/calcChain.xml><?xml version="1.0" encoding="utf-8"?>
<calcChain xmlns="http://schemas.openxmlformats.org/spreadsheetml/2006/main">
  <c r="H20" i="11" l="1"/>
  <c r="D52" i="16" l="1"/>
  <c r="E85" i="1"/>
  <c r="E72" i="1"/>
  <c r="E73" i="1" s="1"/>
  <c r="E74" i="1" s="1"/>
  <c r="E75" i="1" s="1"/>
  <c r="D34" i="1"/>
  <c r="E22" i="1"/>
  <c r="H26" i="11"/>
  <c r="H27" i="11" s="1"/>
  <c r="H28" i="11" s="1"/>
  <c r="H29" i="11" s="1"/>
  <c r="H21" i="11"/>
  <c r="H22" i="11" s="1"/>
  <c r="H23" i="11" s="1"/>
  <c r="E52" i="16" l="1"/>
  <c r="E67" i="16"/>
  <c r="E56" i="16"/>
  <c r="D108" i="1"/>
  <c r="F42" i="16" l="1"/>
  <c r="F55" i="16"/>
  <c r="D68" i="16" l="1"/>
  <c r="E63" i="16"/>
  <c r="E65" i="16" s="1"/>
  <c r="D63" i="16"/>
  <c r="D65" i="16" s="1"/>
  <c r="I60" i="16"/>
  <c r="H60" i="16"/>
  <c r="J60" i="16" s="1"/>
  <c r="D57" i="16"/>
  <c r="F56" i="16"/>
  <c r="E54" i="16"/>
  <c r="D54" i="16"/>
  <c r="I53" i="16"/>
  <c r="H53" i="16"/>
  <c r="J53" i="16" s="1"/>
  <c r="I52" i="16"/>
  <c r="H52" i="16"/>
  <c r="J52" i="16" s="1"/>
  <c r="F44" i="16"/>
  <c r="J40" i="16"/>
  <c r="I40" i="16"/>
  <c r="H40" i="16"/>
  <c r="E39" i="16"/>
  <c r="E43" i="16" s="1"/>
  <c r="E45" i="16" s="1"/>
  <c r="D39" i="16"/>
  <c r="D43" i="16" s="1"/>
  <c r="D45" i="16" s="1"/>
  <c r="D46" i="16" s="1"/>
  <c r="D47" i="16" s="1"/>
  <c r="I38" i="16"/>
  <c r="H38" i="16"/>
  <c r="F37" i="16"/>
  <c r="D69" i="16" l="1"/>
  <c r="D58" i="16"/>
  <c r="J38" i="16"/>
  <c r="F38" i="16" s="1"/>
  <c r="F39" i="16" s="1"/>
  <c r="E57" i="16"/>
  <c r="E58" i="16" s="1"/>
  <c r="F57" i="16"/>
  <c r="F60" i="16"/>
  <c r="F63" i="16" s="1"/>
  <c r="F65" i="16" s="1"/>
  <c r="E46" i="16"/>
  <c r="E47" i="16" s="1"/>
  <c r="F40" i="16"/>
  <c r="F52" i="16"/>
  <c r="F53" i="16"/>
  <c r="F54" i="16" l="1"/>
  <c r="F58" i="16" s="1"/>
  <c r="F43" i="16"/>
  <c r="F45" i="16" s="1"/>
  <c r="F46" i="16" s="1"/>
  <c r="E68" i="16"/>
  <c r="E69" i="16" s="1"/>
  <c r="F47" i="16" l="1"/>
  <c r="F67" i="16" s="1"/>
  <c r="F68" i="16" s="1"/>
  <c r="F69" i="16" s="1"/>
  <c r="F72" i="16" s="1"/>
  <c r="O19" i="11" l="1"/>
  <c r="B94" i="15"/>
  <c r="B93" i="15"/>
  <c r="B92" i="15"/>
  <c r="B91" i="15"/>
  <c r="B90" i="15"/>
  <c r="B89" i="15"/>
  <c r="B88" i="15"/>
  <c r="B87" i="15"/>
  <c r="B86" i="15"/>
  <c r="B85" i="15"/>
  <c r="B84" i="15"/>
  <c r="B83" i="15"/>
  <c r="B82" i="15"/>
  <c r="B81" i="15"/>
  <c r="B80" i="15"/>
  <c r="I20" i="14"/>
  <c r="E23" i="1"/>
  <c r="E24" i="1" s="1"/>
  <c r="E25" i="1" s="1"/>
  <c r="F46" i="1"/>
  <c r="F45" i="1"/>
  <c r="F44" i="1"/>
  <c r="F43" i="1"/>
  <c r="P18" i="11"/>
  <c r="G19" i="10"/>
  <c r="G30" i="2"/>
  <c r="O21" i="2"/>
  <c r="D85" i="2" l="1"/>
  <c r="D31" i="2"/>
  <c r="D61" i="2" s="1"/>
  <c r="I27" i="14"/>
  <c r="P19" i="11"/>
  <c r="O20" i="11"/>
  <c r="G23" i="10"/>
  <c r="G31" i="10" s="1"/>
  <c r="E86" i="2"/>
  <c r="E70" i="2"/>
  <c r="D87" i="2"/>
  <c r="G77" i="2"/>
  <c r="E89" i="2"/>
  <c r="F86" i="2"/>
  <c r="G83" i="2"/>
  <c r="E81" i="2"/>
  <c r="F78" i="2"/>
  <c r="G75" i="2"/>
  <c r="E73" i="2"/>
  <c r="F70" i="2"/>
  <c r="G67" i="2"/>
  <c r="D76" i="2"/>
  <c r="D86" i="2"/>
  <c r="H25" i="2"/>
  <c r="E75" i="2"/>
  <c r="D80" i="2"/>
  <c r="G90" i="2"/>
  <c r="E88" i="2"/>
  <c r="F85" i="2"/>
  <c r="G82" i="2"/>
  <c r="E80" i="2"/>
  <c r="F77" i="2"/>
  <c r="G74" i="2"/>
  <c r="E72" i="2"/>
  <c r="F69" i="2"/>
  <c r="D78" i="2"/>
  <c r="D81" i="2"/>
  <c r="D89" i="2"/>
  <c r="F83" i="2"/>
  <c r="G72" i="2"/>
  <c r="G85" i="2"/>
  <c r="E67" i="2"/>
  <c r="D88" i="2"/>
  <c r="F90" i="2"/>
  <c r="G87" i="2"/>
  <c r="E85" i="2"/>
  <c r="F82" i="2"/>
  <c r="G79" i="2"/>
  <c r="E77" i="2"/>
  <c r="F74" i="2"/>
  <c r="G71" i="2"/>
  <c r="E69" i="2"/>
  <c r="D77" i="2"/>
  <c r="D74" i="2"/>
  <c r="D82" i="2"/>
  <c r="D90" i="2"/>
  <c r="G80" i="2"/>
  <c r="F67" i="2"/>
  <c r="F88" i="2"/>
  <c r="F72" i="2"/>
  <c r="E90" i="2"/>
  <c r="F87" i="2"/>
  <c r="G84" i="2"/>
  <c r="E82" i="2"/>
  <c r="F79" i="2"/>
  <c r="G76" i="2"/>
  <c r="E74" i="2"/>
  <c r="F71" i="2"/>
  <c r="G68" i="2"/>
  <c r="D73" i="2"/>
  <c r="D70" i="2"/>
  <c r="D83" i="2"/>
  <c r="E31" i="2"/>
  <c r="E78" i="2"/>
  <c r="D72" i="2"/>
  <c r="D79" i="2"/>
  <c r="F80" i="2"/>
  <c r="D68" i="2"/>
  <c r="G89" i="2"/>
  <c r="E87" i="2"/>
  <c r="F84" i="2"/>
  <c r="G81" i="2"/>
  <c r="E79" i="2"/>
  <c r="F76" i="2"/>
  <c r="G73" i="2"/>
  <c r="E71" i="2"/>
  <c r="F68" i="2"/>
  <c r="D69" i="2"/>
  <c r="D75" i="2"/>
  <c r="D84" i="2"/>
  <c r="G88" i="2"/>
  <c r="F75" i="2"/>
  <c r="E83" i="2"/>
  <c r="G69" i="2"/>
  <c r="F89" i="2"/>
  <c r="G86" i="2"/>
  <c r="E84" i="2"/>
  <c r="F81" i="2"/>
  <c r="G78" i="2"/>
  <c r="E76" i="2"/>
  <c r="F73" i="2"/>
  <c r="G70" i="2"/>
  <c r="E68" i="2"/>
  <c r="D71" i="2"/>
  <c r="D67" i="2"/>
  <c r="D41" i="2" l="1"/>
  <c r="D33" i="2"/>
  <c r="D42" i="2"/>
  <c r="D50" i="2"/>
  <c r="D51" i="2"/>
  <c r="D58" i="2"/>
  <c r="D38" i="2"/>
  <c r="D39" i="2"/>
  <c r="D37" i="2"/>
  <c r="D52" i="2"/>
  <c r="D43" i="2"/>
  <c r="D55" i="2"/>
  <c r="D34" i="2"/>
  <c r="D66" i="2"/>
  <c r="D53" i="2"/>
  <c r="D40" i="2"/>
  <c r="D62" i="2"/>
  <c r="D56" i="2"/>
  <c r="D48" i="2"/>
  <c r="D63" i="2"/>
  <c r="D46" i="2"/>
  <c r="D65" i="2"/>
  <c r="D49" i="2"/>
  <c r="D45" i="2"/>
  <c r="D32" i="2"/>
  <c r="D64" i="2"/>
  <c r="D54" i="2"/>
  <c r="D47" i="2"/>
  <c r="D60" i="2"/>
  <c r="D44" i="2"/>
  <c r="D59" i="2"/>
  <c r="D36" i="2"/>
  <c r="D57" i="2"/>
  <c r="P20" i="11"/>
  <c r="F31" i="2"/>
  <c r="G31" i="2" s="1"/>
  <c r="E32" i="2" s="1"/>
  <c r="F32" i="2" s="1"/>
  <c r="G32" i="2" s="1"/>
  <c r="I28" i="14"/>
  <c r="O21" i="11"/>
  <c r="H22" i="2"/>
  <c r="D35" i="2"/>
  <c r="P21" i="11" l="1"/>
  <c r="I21" i="14"/>
  <c r="I29" i="14"/>
  <c r="O22" i="11"/>
  <c r="E33" i="2"/>
  <c r="F33" i="2" s="1"/>
  <c r="G33" i="2" s="1"/>
  <c r="P22" i="11" l="1"/>
  <c r="I22" i="14"/>
  <c r="I30" i="14"/>
  <c r="I23" i="14" s="1"/>
  <c r="O23" i="11"/>
  <c r="E34" i="2"/>
  <c r="F34" i="2" s="1"/>
  <c r="G34" i="2" s="1"/>
  <c r="P23" i="11" l="1"/>
  <c r="O24" i="11"/>
  <c r="E35" i="2"/>
  <c r="F35" i="2" s="1"/>
  <c r="G35" i="2" s="1"/>
  <c r="P24" i="11" l="1"/>
  <c r="O25" i="11"/>
  <c r="E36" i="2"/>
  <c r="F36" i="2" s="1"/>
  <c r="G36" i="2" s="1"/>
  <c r="P25" i="11" l="1"/>
  <c r="O26" i="11"/>
  <c r="E37" i="2"/>
  <c r="F37" i="2" s="1"/>
  <c r="G37" i="2" s="1"/>
  <c r="P26" i="11" l="1"/>
  <c r="O27" i="11"/>
  <c r="E38" i="2"/>
  <c r="F38" i="2" s="1"/>
  <c r="G38" i="2" s="1"/>
  <c r="P27" i="11" l="1"/>
  <c r="O28" i="11"/>
  <c r="P28" i="11" s="1"/>
  <c r="E39" i="2"/>
  <c r="F39" i="2" s="1"/>
  <c r="G39" i="2" s="1"/>
  <c r="O29" i="11" l="1"/>
  <c r="P29" i="11" s="1"/>
  <c r="E40" i="2"/>
  <c r="F40" i="2" s="1"/>
  <c r="G40" i="2" s="1"/>
  <c r="O30" i="11" l="1"/>
  <c r="P30" i="11" s="1"/>
  <c r="E41" i="2"/>
  <c r="F41" i="2" s="1"/>
  <c r="G41" i="2" s="1"/>
  <c r="O31" i="11" l="1"/>
  <c r="P31" i="11" s="1"/>
  <c r="E42" i="2"/>
  <c r="F42" i="2" s="1"/>
  <c r="G42" i="2" s="1"/>
  <c r="O32" i="11" l="1"/>
  <c r="P32" i="11" s="1"/>
  <c r="E43" i="2"/>
  <c r="F43" i="2" s="1"/>
  <c r="G43" i="2" s="1"/>
  <c r="O33" i="11" l="1"/>
  <c r="P33" i="11" s="1"/>
  <c r="E44" i="2"/>
  <c r="F44" i="2" s="1"/>
  <c r="G44" i="2" s="1"/>
  <c r="O34" i="11" l="1"/>
  <c r="P34" i="11" s="1"/>
  <c r="E45" i="2"/>
  <c r="F45" i="2" s="1"/>
  <c r="G45" i="2" s="1"/>
  <c r="O35" i="11" l="1"/>
  <c r="P35" i="11" s="1"/>
  <c r="E46" i="2"/>
  <c r="F46" i="2" s="1"/>
  <c r="G46" i="2" s="1"/>
  <c r="O36" i="11" l="1"/>
  <c r="P36" i="11" s="1"/>
  <c r="E47" i="2"/>
  <c r="F47" i="2" s="1"/>
  <c r="G47" i="2" s="1"/>
  <c r="O37" i="11" l="1"/>
  <c r="P37" i="11" s="1"/>
  <c r="E48" i="2"/>
  <c r="F48" i="2" s="1"/>
  <c r="G48" i="2"/>
  <c r="O38" i="11" l="1"/>
  <c r="P38" i="11" s="1"/>
  <c r="E49" i="2"/>
  <c r="F49" i="2" s="1"/>
  <c r="G49" i="2" s="1"/>
  <c r="O39" i="11" l="1"/>
  <c r="P39" i="11" s="1"/>
  <c r="E50" i="2"/>
  <c r="F50" i="2" s="1"/>
  <c r="G50" i="2" s="1"/>
  <c r="O40" i="11" l="1"/>
  <c r="P40" i="11" s="1"/>
  <c r="E51" i="2"/>
  <c r="F51" i="2" s="1"/>
  <c r="G51" i="2" s="1"/>
  <c r="O41" i="11" l="1"/>
  <c r="P41" i="11" s="1"/>
  <c r="E52" i="2"/>
  <c r="F52" i="2" s="1"/>
  <c r="G52" i="2" s="1"/>
  <c r="O42" i="11" l="1"/>
  <c r="E53" i="2"/>
  <c r="F53" i="2" s="1"/>
  <c r="G53" i="2" s="1"/>
  <c r="P42" i="11" l="1"/>
  <c r="O43" i="11"/>
  <c r="O44" i="11" s="1"/>
  <c r="O45" i="11" s="1"/>
  <c r="O46" i="11" s="1"/>
  <c r="O47" i="11" s="1"/>
  <c r="E54" i="2"/>
  <c r="F54" i="2" s="1"/>
  <c r="G54" i="2" s="1"/>
  <c r="P43" i="11" l="1"/>
  <c r="P44" i="11" s="1"/>
  <c r="P45" i="11" s="1"/>
  <c r="P46" i="11" s="1"/>
  <c r="P47" i="11" s="1"/>
  <c r="P48" i="11" s="1"/>
  <c r="P49" i="11" s="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E55" i="2"/>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alcChain>
</file>

<file path=xl/sharedStrings.xml><?xml version="1.0" encoding="utf-8"?>
<sst xmlns="http://schemas.openxmlformats.org/spreadsheetml/2006/main" count="359" uniqueCount="303">
  <si>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</si>
  <si>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</si>
  <si>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</si>
  <si>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</si>
  <si>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</si>
  <si>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</si>
  <si>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</si>
  <si>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</si>
  <si>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</si>
  <si>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</si>
  <si>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</si>
  <si>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</si>
  <si>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</si>
  <si>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</si>
  <si>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</si>
  <si>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</si>
  <si>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</si>
  <si>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</si>
  <si>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</si>
  <si>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</si>
  <si>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</si>
  <si>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</si>
  <si>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</si>
  <si>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</si>
  <si>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</si>
  <si>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</si>
  <si>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</si>
  <si>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</si>
  <si>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</si>
  <si>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</si>
  <si>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</si>
  <si>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</si>
  <si>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</si>
  <si>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</si>
  <si>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</si>
  <si>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</si>
  <si>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</si>
  <si>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</si>
  <si>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</si>
  <si>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</si>
  <si>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</si>
  <si>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</si>
  <si>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</si>
  <si>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</si>
  <si>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</si>
  <si>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</si>
  <si>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</si>
  <si>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</si>
  <si>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</si>
  <si>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</si>
  <si>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</si>
  <si>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</si>
  <si>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</si>
  <si>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</si>
  <si>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</si>
  <si>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</si>
  <si>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</si>
  <si>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</si>
  <si>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</si>
  <si>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</si>
  <si>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</si>
  <si>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</si>
  <si>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</si>
  <si>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</si>
  <si>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</si>
  <si>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</si>
  <si>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</si>
  <si>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</si>
  <si>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</si>
  <si>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</si>
  <si>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</si>
  <si>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</si>
  <si>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</si>
  <si>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</si>
  <si>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</si>
  <si>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</si>
  <si>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</si>
  <si>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</si>
  <si>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</si>
  <si>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</si>
  <si>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</si>
  <si>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</si>
  <si>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</si>
  <si>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</si>
  <si>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</si>
  <si>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</si>
  <si>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</si>
  <si>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</si>
  <si>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</si>
  <si>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</si>
  <si>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</si>
  <si>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</si>
  <si>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</si>
  <si>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</si>
  <si>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</si>
  <si>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</si>
  <si>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PV at t=0 of unknowns</t>
  </si>
  <si>
    <t>Value of X's</t>
  </si>
  <si>
    <t>Points as marked for each question.</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</si>
  <si>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</si>
  <si>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</si>
  <si>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</si>
  <si>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</si>
  <si>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</si>
  <si>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</si>
  <si>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Complete the written portion and give it to your proctor.</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</si>
  <si>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</si>
  <si>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</si>
  <si>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</si>
  <si>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</si>
  <si>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</si>
  <si>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</si>
  <si>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</si>
  <si>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</si>
  <si>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</si>
  <si>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</si>
  <si>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</si>
  <si>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</si>
  <si>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</si>
  <si>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</si>
  <si>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</si>
  <si>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</si>
  <si>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</si>
  <si>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 last tab contains multiple choice and true/false questions that count for</t>
  </si>
  <si>
    <t>Tell your proctor that you have finished.</t>
  </si>
  <si>
    <t>For True/False questions, enter TRUE or FALSE in the yellow cell.</t>
  </si>
  <si>
    <t>For multiple choice questions, enter the letter of the best reponse in the yellow cell.</t>
  </si>
  <si>
    <t>5.</t>
  </si>
  <si>
    <t>6.</t>
  </si>
  <si>
    <t>A.</t>
  </si>
  <si>
    <t>B.</t>
  </si>
  <si>
    <t>C.</t>
  </si>
  <si>
    <t>D.</t>
  </si>
  <si>
    <t>E.</t>
  </si>
  <si>
    <t>A and C are both correct.</t>
  </si>
  <si>
    <t>7.</t>
  </si>
  <si>
    <t>8.</t>
  </si>
  <si>
    <t>9.</t>
  </si>
  <si>
    <t>10.</t>
  </si>
  <si>
    <t>DO NOT CHANGE ANYTHING BELOW THIS LINE</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</si>
  <si>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</si>
  <si>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</si>
  <si>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</si>
  <si>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</si>
  <si>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</si>
  <si>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</si>
  <si>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</si>
  <si>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</si>
  <si>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</si>
  <si>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</si>
  <si>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</si>
  <si>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</si>
  <si>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</si>
  <si>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</si>
  <si>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</si>
  <si>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</si>
  <si>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</si>
  <si>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</si>
  <si>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</si>
  <si>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</si>
  <si>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</si>
  <si>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</si>
  <si>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</si>
  <si>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</si>
  <si>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</si>
  <si>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</si>
  <si>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</si>
  <si>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</si>
  <si>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</si>
  <si>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</si>
  <si>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</si>
  <si>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</si>
  <si>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</si>
  <si>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</si>
  <si>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</si>
  <si>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</si>
  <si>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</si>
  <si>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</si>
  <si>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</si>
  <si>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</si>
  <si>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</si>
  <si>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</si>
  <si>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</si>
  <si>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</si>
  <si>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</si>
  <si>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</si>
  <si>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</si>
  <si>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</si>
  <si>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</si>
  <si>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</si>
  <si>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</si>
  <si>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</si>
  <si>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</si>
  <si>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</si>
  <si>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</si>
  <si>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</si>
  <si>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</si>
  <si>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</si>
  <si>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</si>
  <si>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</si>
  <si>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</si>
  <si>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</si>
  <si>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</si>
  <si>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</si>
  <si>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</si>
  <si>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as the discount rate increases, the future value of an investment increases.</t>
  </si>
  <si>
    <t>as the discount rate increases, the present value of an investment increases.</t>
  </si>
  <si>
    <t>A and B are both correct.</t>
  </si>
  <si>
    <t>Accounts receivable</t>
  </si>
  <si>
    <t>Account payable</t>
  </si>
  <si>
    <t>All of the above would typically maintain the same percentage relationship to sales.</t>
  </si>
  <si>
    <t>t</t>
  </si>
  <si>
    <t>Objective Section - 20 Points Possible</t>
  </si>
  <si>
    <t>20 points of the 100 point total for the exam.</t>
  </si>
  <si>
    <t>C</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</si>
  <si>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</si>
  <si>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</si>
  <si>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</si>
  <si>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</si>
  <si>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</si>
  <si>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</si>
  <si>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</si>
  <si>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</si>
  <si>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</si>
  <si>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</si>
  <si>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</si>
  <si>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</si>
  <si>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</si>
  <si>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</si>
  <si>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</si>
  <si>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</si>
  <si>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</si>
  <si>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</si>
  <si>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There are 8 tabbed pages in this exam spreadsheet including this one.</t>
  </si>
  <si>
    <t>Expected inflation increases</t>
  </si>
  <si>
    <t>More than one of the above</t>
  </si>
  <si>
    <t>11.</t>
  </si>
  <si>
    <t>12.</t>
  </si>
  <si>
    <t>13.</t>
  </si>
  <si>
    <t>14.</t>
  </si>
  <si>
    <t>15.</t>
  </si>
  <si>
    <t>The "real" rate of interest increases as the risk of an investment increases, other things equal.  (True or false?)</t>
  </si>
  <si>
    <t>Your formulas should work for any reasonable value of the input. [3 Points]</t>
  </si>
  <si>
    <t>$X</t>
  </si>
  <si>
    <t>given in the input cell. [2 Points]</t>
  </si>
  <si>
    <t>The beta (β) coefficient is a measure of a stock's undiversifiable risk when it is held in a large portfolio of stocks. (True or false?)</t>
  </si>
  <si>
    <t>The real rate of interest decreases</t>
  </si>
  <si>
    <t>Investor risk aversion increases</t>
  </si>
  <si>
    <t>The risk premium on the market portfolio decreases</t>
  </si>
  <si>
    <t xml:space="preserve">The effective annual interest rate on a loan will equal the "nominal" or "stated" </t>
  </si>
  <si>
    <t>When projecting pro-forma income statements and balance sheets using the percent of sales method, which of the following are typically not assumed to maintain the same percentage relationship to sales over time?</t>
  </si>
  <si>
    <t>Any stock that is less sensitive than average to changes in general economic conditions will have a beta coefficient less than one.  (True or false?)</t>
  </si>
  <si>
    <t>PV at t=0 of all known CFs</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</si>
  <si>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</si>
  <si>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t>include the NPV function.  There are no inputs so you can hard-code the numbers</t>
  </si>
  <si>
    <t>in the formulas but the formulas must be shown. [4 Points]</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</si>
  <si>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</si>
  <si>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OR</t>
  </si>
  <si>
    <t>#4</t>
  </si>
  <si>
    <t xml:space="preserve">for the first three years, but then will pay an equal amount each year for 6 years, and then </t>
  </si>
  <si>
    <t>projects estimated sales through 2020.  The x-axis should list the individual years</t>
  </si>
  <si>
    <t>A series of identical cash flows that are expected to occur at equal time periods forever is a perpetuity.  (True or false?)</t>
  </si>
  <si>
    <t>The future value of a current deposit decreases as the expected rate of inflation increases, other things equal.  (True or False?)</t>
  </si>
  <si>
    <t>According to financial theory, investors who take more risk expect to make higher returns than those who take less risk. (True or false?)</t>
  </si>
  <si>
    <t>the discount rate decreases as the risk of an investment decreases.</t>
  </si>
  <si>
    <t>Long-Term Debt</t>
  </si>
  <si>
    <t>More than one of the above is correct</t>
  </si>
  <si>
    <t>For any positive interest rate, decreasing the compounding frequency will decrease the future value of an investment.  (True or false?)</t>
  </si>
  <si>
    <t>-2 Points for each incorrect or omitted answer.</t>
  </si>
  <si>
    <t>E</t>
  </si>
  <si>
    <t>In a world with no risk and no inflation, rational investors would require no rate of interest to lend their money to someone else for a period of time.  (True or False?)</t>
  </si>
  <si>
    <t>An investor would always prefer a shorter compounding period for interest than a longer compounding period, other things equal.  (True or false?)</t>
  </si>
  <si>
    <t>The slope of the security market line (SML) will increase when</t>
  </si>
  <si>
    <t>The height or y-intercept of the security market line (SML) will decrease when</t>
  </si>
  <si>
    <t>B</t>
  </si>
  <si>
    <t>A</t>
  </si>
  <si>
    <t>rate on the loan only if the interest on the loan is compounded annually. (True or false?)</t>
  </si>
  <si>
    <t>The account will have a zero balance after the 25 withdrawals. There will be one payout per year.</t>
  </si>
  <si>
    <t>You plan to make annual deposits into your retirement account on January 1 of every year from 2019</t>
  </si>
  <si>
    <t>Deposit 26</t>
  </si>
  <si>
    <t>Deposit 27</t>
  </si>
  <si>
    <t>Deposit 28</t>
  </si>
  <si>
    <t>Deposit 29</t>
  </si>
  <si>
    <t>Deposit 30</t>
  </si>
  <si>
    <t xml:space="preserve">to 2048 (30 deposits). The first deposit will be $5,000. The remaining 29 deposits will all be equal to each other, </t>
  </si>
  <si>
    <t>Amount needed on 1/1/2049</t>
  </si>
  <si>
    <t>PV of above on 01/01/2019</t>
  </si>
  <si>
    <t>Amount of each of the 29 regular payments that</t>
  </si>
  <si>
    <t>Amount needed on 1/1/2050</t>
  </si>
  <si>
    <t>The total present value of all 11 cash flows, including the four missing ones, is $8500</t>
  </si>
  <si>
    <t>Value of unknowns at t=2</t>
  </si>
  <si>
    <t xml:space="preserve">if the discount rate is 6% per year compounded annually. The four missing cash flows, </t>
  </si>
  <si>
    <t xml:space="preserve">the CGS from the table at the right for the year </t>
  </si>
  <si>
    <t>11 years of sales and uses it to estimate 2018 sales. [3 Points]</t>
  </si>
  <si>
    <t xml:space="preserve">Problem 5 for the years 2007 to 2017, and that includes a linear trendline that </t>
  </si>
  <si>
    <t xml:space="preserve"> and begin with 2007 and end with 2020. The y-axis should be sales in dollars. [5 Points]</t>
  </si>
  <si>
    <t>Percent Change in Sales from 2017</t>
  </si>
  <si>
    <t>Tax Rate for 2018</t>
  </si>
  <si>
    <t>Common Stock Dividend for 2018</t>
  </si>
  <si>
    <t>Expected addition to Plant and Equipment in 2018</t>
  </si>
  <si>
    <t>Additional depreciation on new Plant/Equip in 2018</t>
  </si>
  <si>
    <t>Excess/(Deficit) Financing for 2018</t>
  </si>
  <si>
    <t>your retirement account to pay out $225,000 per year for 25 years starting on January 1, 2050.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</si>
</sst>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_);_(&quot;$&quot;* \(#,##0.0\);_(&quot;$&quot;* &quot;-&quot;?_);_(@_)"/>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3" xfId="0" quotePrefix="1" applyNumberFormat="1" applyFont="1" applyFill="1" applyBorder="1" applyAlignment="1">
      <alignment horizontal="center"/>
    </xf>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2" fillId="0" borderId="8" xfId="0" applyNumberFormat="1" applyFont="1" applyBorder="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0" fontId="0" fillId="0" borderId="0" xfId="0"/>
    <xf numFmtId="8" fontId="0" fillId="0" borderId="0" xfId="0" applyNumberFormat="1"/>
    <xf numFmtId="0" fontId="0" fillId="0" borderId="8" xfId="0" applyBorder="1"/>
    <xf numFmtId="0" fontId="0" fillId="0" borderId="0" xfId="0" quotePrefix="1"/>
    <xf numFmtId="10" fontId="0" fillId="7" borderId="1" xfId="0" applyNumberFormat="1" applyFill="1" applyBorder="1"/>
    <xf numFmtId="0" fontId="0" fillId="0" borderId="0" xfId="0"/>
    <xf numFmtId="0" fontId="0" fillId="0" borderId="0" xfId="0"/>
    <xf numFmtId="0" fontId="0" fillId="0" borderId="9"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6" xfId="2" applyNumberFormat="1" applyFont="1" applyBorder="1" applyAlignment="1">
      <alignment horizontal="center"/>
    </xf>
    <xf numFmtId="0" fontId="0" fillId="0" borderId="15" xfId="0" applyBorder="1" applyAlignment="1">
      <alignment horizontal="center"/>
    </xf>
    <xf numFmtId="0" fontId="0" fillId="0" borderId="0" xfId="0"/>
    <xf numFmtId="0" fontId="0" fillId="0" borderId="0" xfId="0"/>
    <xf numFmtId="0" fontId="0" fillId="0" borderId="8"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0" fontId="0" fillId="0" borderId="0" xfId="0"/>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41" fontId="5" fillId="0" borderId="0" xfId="0" applyNumberFormat="1" applyFont="1"/>
    <xf numFmtId="164" fontId="0" fillId="4" borderId="6" xfId="2" applyNumberFormat="1" applyFont="1" applyFill="1" applyBorder="1"/>
    <xf numFmtId="0" fontId="0" fillId="0" borderId="0" xfId="0"/>
    <xf numFmtId="0" fontId="11" fillId="0" borderId="0" xfId="0" applyFont="1"/>
    <xf numFmtId="0" fontId="13" fillId="0" borderId="0" xfId="0" applyFont="1"/>
    <xf numFmtId="0" fontId="0" fillId="0" borderId="0" xfId="0"/>
    <xf numFmtId="0" fontId="3" fillId="0" borderId="0" xfId="0" applyFont="1" applyAlignment="1">
      <alignment horizontal="center"/>
    </xf>
    <xf numFmtId="14" fontId="0" fillId="0" borderId="0" xfId="0" applyNumberFormat="1"/>
    <xf numFmtId="0" fontId="0" fillId="0" borderId="0" xfId="0" applyAlignment="1">
      <alignment horizontal="left" indent="1"/>
    </xf>
    <xf numFmtId="43" fontId="0" fillId="2" borderId="1" xfId="1" applyFont="1" applyFill="1" applyBorder="1"/>
    <xf numFmtId="8" fontId="0" fillId="0" borderId="0" xfId="0" applyNumberFormat="1"/>
    <xf numFmtId="0" fontId="0" fillId="0" borderId="0" xfId="0"/>
    <xf numFmtId="0" fontId="0" fillId="0" borderId="0" xfId="0" quotePrefix="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8" fontId="0" fillId="0" borderId="0" xfId="0" applyNumberFormat="1"/>
    <xf numFmtId="8" fontId="0" fillId="0" borderId="0" xfId="0" applyNumberFormat="1"/>
    <xf numFmtId="6" fontId="12" fillId="0" borderId="0" xfId="0" applyNumberFormat="1" applyFont="1"/>
    <xf numFmtId="166" fontId="12" fillId="0" borderId="0" xfId="0" applyNumberFormat="1" applyFont="1"/>
    <xf numFmtId="165" fontId="12" fillId="0" borderId="0" xfId="0" applyNumberFormat="1" applyFont="1"/>
    <xf numFmtId="0" fontId="0" fillId="0" borderId="0" xfId="0"/>
    <xf numFmtId="0" fontId="3" fillId="0" borderId="0" xfId="0" applyFont="1"/>
    <xf numFmtId="0" fontId="3" fillId="0" borderId="0" xfId="0" applyFont="1" applyAlignment="1">
      <alignment horizontal="center"/>
    </xf>
    <xf numFmtId="0" fontId="15" fillId="0" borderId="0" xfId="0" applyFont="1" applyAlignment="1">
      <alignment horizontal="center" vertical="center"/>
    </xf>
    <xf numFmtId="0" fontId="3" fillId="0" borderId="0" xfId="0" quotePrefix="1" applyFont="1" applyAlignment="1">
      <alignment horizontal="center"/>
    </xf>
    <xf numFmtId="0" fontId="0" fillId="0" borderId="0" xfId="0"/>
    <xf numFmtId="0" fontId="8" fillId="6" borderId="14" xfId="0" quotePrefix="1"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xf numFmtId="0" fontId="0" fillId="0" borderId="0" xfId="0" applyAlignment="1">
      <alignment horizontal="left" vertical="top" wrapText="1"/>
    </xf>
    <xf numFmtId="164" fontId="12" fillId="0" borderId="17" xfId="2" applyNumberFormat="1" applyFont="1" applyBorder="1"/>
    <xf numFmtId="0" fontId="12" fillId="0" borderId="17" xfId="0" applyFont="1" applyBorder="1"/>
    <xf numFmtId="10" fontId="12" fillId="0" borderId="17" xfId="0" applyNumberFormat="1" applyFont="1" applyBorder="1"/>
    <xf numFmtId="164" fontId="12" fillId="0" borderId="0" xfId="2" applyNumberFormat="1" applyFont="1" applyBorder="1"/>
    <xf numFmtId="0" fontId="12" fillId="7" borderId="17" xfId="0" applyFont="1" applyFill="1" applyBorder="1"/>
    <xf numFmtId="0" fontId="3" fillId="0" borderId="0" xfId="0" applyFont="1" applyAlignment="1">
      <alignment horizontal="left"/>
    </xf>
    <xf numFmtId="0" fontId="3" fillId="0" borderId="0" xfId="0" applyFont="1" applyAlignment="1">
      <alignment horizontal="left" indent="2"/>
    </xf>
    <xf numFmtId="0" fontId="0" fillId="0" borderId="0" xfId="0" applyAlignment="1">
      <alignment horizontal="left" vertical="top" wrapText="1"/>
    </xf>
    <xf numFmtId="44" fontId="0" fillId="0" borderId="0" xfId="0" applyNumberFormat="1"/>
    <xf numFmtId="0" fontId="0" fillId="0" borderId="18" xfId="0" applyBorder="1" applyAlignment="1">
      <alignment horizontal="center"/>
    </xf>
    <xf numFmtId="164" fontId="1" fillId="0" borderId="19" xfId="2" applyNumberFormat="1" applyFont="1" applyBorder="1" applyAlignment="1">
      <alignment horizontal="center"/>
    </xf>
    <xf numFmtId="164" fontId="1" fillId="0" borderId="7" xfId="2" applyNumberFormat="1" applyFont="1" applyBorder="1" applyAlignment="1">
      <alignment horizontal="center"/>
    </xf>
    <xf numFmtId="164" fontId="0" fillId="0" borderId="6" xfId="2" applyNumberFormat="1" applyFont="1" applyBorder="1" applyAlignment="1">
      <alignment horizontal="center"/>
    </xf>
    <xf numFmtId="167" fontId="0" fillId="0" borderId="0" xfId="0" applyNumberFormat="1"/>
    <xf numFmtId="0" fontId="3" fillId="4" borderId="20" xfId="0" applyFont="1" applyFill="1" applyBorder="1" applyAlignment="1">
      <alignment horizontal="center"/>
    </xf>
    <xf numFmtId="164" fontId="0" fillId="4" borderId="19" xfId="2" applyNumberFormat="1" applyFont="1" applyFill="1" applyBorder="1"/>
    <xf numFmtId="0" fontId="0" fillId="0" borderId="0" xfId="0" applyAlignment="1">
      <alignment vertical="top" wrapText="1"/>
    </xf>
    <xf numFmtId="41" fontId="8" fillId="6" borderId="14" xfId="0" quotePrefix="1" applyNumberFormat="1" applyFont="1" applyFill="1" applyBorder="1" applyAlignment="1">
      <alignment horizontal="center" vertical="center"/>
    </xf>
    <xf numFmtId="0" fontId="0" fillId="0" borderId="21" xfId="0" applyBorder="1"/>
    <xf numFmtId="0" fontId="3" fillId="4" borderId="2" xfId="0" applyFont="1" applyFill="1" applyBorder="1" applyAlignment="1">
      <alignment horizontal="center"/>
    </xf>
    <xf numFmtId="0" fontId="3" fillId="4" borderId="3" xfId="0" applyFont="1" applyFill="1" applyBorder="1" applyAlignment="1">
      <alignment horizontal="center"/>
    </xf>
    <xf numFmtId="0" fontId="0" fillId="0" borderId="0" xfId="0" quotePrefix="1" applyAlignment="1">
      <alignment horizontal="center"/>
    </xf>
    <xf numFmtId="0" fontId="3" fillId="4" borderId="15" xfId="0" applyFont="1" applyFill="1" applyBorder="1" applyAlignment="1">
      <alignment horizontal="center"/>
    </xf>
    <xf numFmtId="164" fontId="0" fillId="4" borderId="22" xfId="2" applyNumberFormat="1" applyFont="1" applyFill="1" applyBorder="1"/>
    <xf numFmtId="41" fontId="0" fillId="2" borderId="0" xfId="0" applyNumberFormat="1" applyFill="1"/>
    <xf numFmtId="41" fontId="5" fillId="2" borderId="0" xfId="0" applyNumberFormat="1" applyFont="1" applyFill="1"/>
    <xf numFmtId="41" fontId="8" fillId="6" borderId="14" xfId="0" applyNumberFormat="1" applyFont="1" applyFill="1" applyBorder="1"/>
    <xf numFmtId="0" fontId="3" fillId="2" borderId="14" xfId="0" applyFont="1" applyFill="1" applyBorder="1" applyAlignment="1">
      <alignment horizontal="center"/>
    </xf>
    <xf numFmtId="0" fontId="15" fillId="0" borderId="0" xfId="0" applyFont="1" applyAlignment="1">
      <alignment horizontal="center"/>
    </xf>
    <xf numFmtId="0" fontId="3" fillId="2" borderId="14" xfId="0" applyFont="1" applyFill="1" applyBorder="1" applyAlignment="1">
      <alignment horizontal="center" vertical="center"/>
    </xf>
    <xf numFmtId="8" fontId="0" fillId="2" borderId="11" xfId="2" applyNumberFormat="1" applyFont="1" applyFill="1" applyBorder="1"/>
    <xf numFmtId="44" fontId="0" fillId="2" borderId="12" xfId="2" applyFont="1" applyFill="1" applyBorder="1"/>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0" fillId="0" borderId="0" xfId="0" applyAlignment="1">
      <alignment horizontal="left" vertical="top" wrapText="1"/>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Actual</a:t>
            </a:r>
            <a:r>
              <a:rPr lang="en-US" b="1" baseline="0"/>
              <a:t> and Projected Sales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3591426071741"/>
          <c:y val="0.17634259259259263"/>
          <c:w val="0.77775196850393702"/>
          <c:h val="0.72088764946048411"/>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22225" cap="rnd">
                <a:solidFill>
                  <a:schemeClr val="tx1"/>
                </a:solidFill>
                <a:prstDash val="sysDot"/>
              </a:ln>
              <a:effectLst/>
            </c:spPr>
            <c:trendlineType val="linear"/>
            <c:forward val="4"/>
            <c:dispRSqr val="0"/>
            <c:dispEq val="0"/>
          </c:trendline>
          <c:trendline>
            <c:spPr>
              <a:ln w="19050" cap="rnd">
                <a:solidFill>
                  <a:schemeClr val="accent1"/>
                </a:solidFill>
                <a:prstDash val="sysDot"/>
              </a:ln>
              <a:effectLst/>
            </c:spPr>
            <c:trendlineType val="linear"/>
            <c:dispRSqr val="0"/>
            <c:dispEq val="0"/>
          </c:trendline>
          <c:xVal>
            <c:numRef>
              <c:f>'P5 - 20 Pts'!$C$97:$C$107</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xVal>
          <c:yVal>
            <c:numRef>
              <c:f>'P5 - 20 Pts'!$D$97:$D$107</c:f>
              <c:numCache>
                <c:formatCode>_("$"* #,##0_);_("$"* \(#,##0\);_("$"* "-"??_);_(@_)</c:formatCode>
                <c:ptCount val="11"/>
                <c:pt idx="0">
                  <c:v>1075050</c:v>
                </c:pt>
                <c:pt idx="1">
                  <c:v>948500</c:v>
                </c:pt>
                <c:pt idx="2">
                  <c:v>796845</c:v>
                </c:pt>
                <c:pt idx="3">
                  <c:v>856210</c:v>
                </c:pt>
                <c:pt idx="4">
                  <c:v>964585</c:v>
                </c:pt>
                <c:pt idx="5">
                  <c:v>1321800</c:v>
                </c:pt>
                <c:pt idx="6">
                  <c:v>1216500</c:v>
                </c:pt>
                <c:pt idx="7">
                  <c:v>1429500</c:v>
                </c:pt>
                <c:pt idx="8">
                  <c:v>1562540</c:v>
                </c:pt>
                <c:pt idx="9">
                  <c:v>1386540</c:v>
                </c:pt>
                <c:pt idx="10">
                  <c:v>1486550</c:v>
                </c:pt>
              </c:numCache>
            </c:numRef>
          </c:yVal>
          <c:smooth val="0"/>
          <c:extLst>
            <c:ext xmlns:c16="http://schemas.microsoft.com/office/drawing/2014/chart" uri="{C3380CC4-5D6E-409C-BE32-E72D297353CC}">
              <c16:uniqueId val="{00000000-C015-40A6-AA96-DB5B88B17676}"/>
            </c:ext>
          </c:extLst>
        </c:ser>
        <c:dLbls>
          <c:showLegendKey val="0"/>
          <c:showVal val="0"/>
          <c:showCatName val="0"/>
          <c:showSerName val="0"/>
          <c:showPercent val="0"/>
          <c:showBubbleSize val="0"/>
        </c:dLbls>
        <c:axId val="-1412453120"/>
        <c:axId val="-1412448224"/>
      </c:scatterChart>
      <c:valAx>
        <c:axId val="-1412453120"/>
        <c:scaling>
          <c:orientation val="minMax"/>
          <c:max val="2020"/>
          <c:min val="200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48224"/>
        <c:crosses val="autoZero"/>
        <c:crossBetween val="midCat"/>
        <c:majorUnit val="1"/>
      </c:valAx>
      <c:valAx>
        <c:axId val="-14124482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53120"/>
        <c:crosses val="autoZero"/>
        <c:crossBetween val="midCat"/>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2% and 8%.</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412750</xdr:colOff>
      <xdr:row>30</xdr:row>
      <xdr:rowOff>96520</xdr:rowOff>
    </xdr:from>
    <xdr:to>
      <xdr:col>8</xdr:col>
      <xdr:colOff>419100</xdr:colOff>
      <xdr:row>36</xdr:row>
      <xdr:rowOff>115570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1372870" y="5624830"/>
          <a:ext cx="4627880" cy="11163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 can enter any number between 1 and 60. Your output must work for any allowable input</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xdr:from>
      <xdr:col>2</xdr:col>
      <xdr:colOff>223158</xdr:colOff>
      <xdr:row>115</xdr:row>
      <xdr:rowOff>38101</xdr:rowOff>
    </xdr:from>
    <xdr:to>
      <xdr:col>7</xdr:col>
      <xdr:colOff>457201</xdr:colOff>
      <xdr:row>129</xdr:row>
      <xdr:rowOff>114301</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20</xdr:row>
      <xdr:rowOff>57978</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28599" y="180974"/>
          <a:ext cx="6811618" cy="3687004"/>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2018 pro forma income statement and balance sheet for the firm whose 2016 and 2017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2018 is expected to change with sales by 85% of the two-year arithmetic average of the proportion of this item in relation to sales</a:t>
          </a:r>
          <a:r>
            <a:rPr lang="en-US" sz="1100" b="1" baseline="0">
              <a:solidFill>
                <a:schemeClr val="dk1"/>
              </a:solidFill>
              <a:effectLst/>
              <a:latin typeface="+mn-lt"/>
              <a:ea typeface="+mn-ea"/>
              <a:cs typeface="+mn-cs"/>
            </a:rPr>
            <a:t> for 2016 and 2017.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2016 and 2017</a:t>
          </a:r>
          <a:r>
            <a:rPr lang="en-US" sz="1100" b="1">
              <a:solidFill>
                <a:schemeClr val="dk1"/>
              </a:solidFill>
              <a:effectLst/>
              <a:latin typeface="+mn-lt"/>
              <a:ea typeface="+mn-ea"/>
              <a:cs typeface="+mn-cs"/>
            </a:rPr>
            <a:t>.  The firm has planned an investment of $300,000 in new equipment </a:t>
          </a:r>
          <a:r>
            <a:rPr lang="en-US" sz="1100" b="1" baseline="0">
              <a:solidFill>
                <a:schemeClr val="dk1"/>
              </a:solidFill>
              <a:effectLst/>
              <a:latin typeface="+mn-lt"/>
              <a:ea typeface="+mn-ea"/>
              <a:cs typeface="+mn-cs"/>
            </a:rPr>
            <a:t>in 2018.  This equipment will be depreciated at $80,000 per year. Depreciation on existing Plant/Equipment will be the same as it was in 2017.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2018 is computed on the 2017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2018 using the information above, the inputs below, and the values that are given in the statements. The 2018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2018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45" zoomScaleNormal="145" workbookViewId="0">
      <selection activeCell="I10" sqref="I10"/>
    </sheetView>
  </sheetViews>
  <sheetFormatPr defaultRowHeight="15" x14ac:dyDescent="0.25"/>
  <cols>
    <col min="1" max="1" width="2.7109375" customWidth="1"/>
  </cols>
  <sheetData>
    <row r="2" spans="2:3" ht="18.75" x14ac:dyDescent="0.3">
      <c r="B2" s="86" t="s">
        <v>53</v>
      </c>
      <c r="C2" s="85"/>
    </row>
    <row r="3" spans="2:3" ht="18.75" x14ac:dyDescent="0.3">
      <c r="B3" s="86" t="s">
        <v>73</v>
      </c>
      <c r="C3" s="85"/>
    </row>
    <row r="4" spans="2:3" ht="18.75" x14ac:dyDescent="0.3">
      <c r="B4" s="86" t="s">
        <v>59</v>
      </c>
      <c r="C4" s="85"/>
    </row>
    <row r="5" spans="2:3" ht="6" customHeight="1" x14ac:dyDescent="0.3">
      <c r="B5" s="86"/>
      <c r="C5" s="85"/>
    </row>
    <row r="6" spans="2:3" ht="16.5" customHeight="1" x14ac:dyDescent="0.3">
      <c r="B6" s="86" t="s">
        <v>100</v>
      </c>
      <c r="C6" s="85"/>
    </row>
    <row r="7" spans="2:3" ht="16.5" customHeight="1" x14ac:dyDescent="0.3">
      <c r="B7" s="86" t="s">
        <v>101</v>
      </c>
      <c r="C7" s="85"/>
    </row>
    <row r="8" spans="2:3" ht="16.5" customHeight="1" x14ac:dyDescent="0.3">
      <c r="B8" s="86" t="s">
        <v>122</v>
      </c>
      <c r="C8" s="85"/>
    </row>
    <row r="9" spans="2:3" ht="4.5" customHeight="1" x14ac:dyDescent="0.3">
      <c r="B9" s="86"/>
      <c r="C9" s="85"/>
    </row>
    <row r="10" spans="2:3" ht="15" customHeight="1" x14ac:dyDescent="0.3">
      <c r="B10" s="86" t="s">
        <v>54</v>
      </c>
      <c r="C10" s="85"/>
    </row>
    <row r="11" spans="2:3" ht="16.5" customHeight="1" x14ac:dyDescent="0.3">
      <c r="B11" s="86"/>
      <c r="C11" s="85"/>
    </row>
    <row r="12" spans="2:3" ht="17.649999999999999" customHeight="1" x14ac:dyDescent="0.25">
      <c r="B12" s="85" t="s">
        <v>233</v>
      </c>
      <c r="C12" s="85"/>
    </row>
    <row r="13" spans="2:3" ht="18.75" x14ac:dyDescent="0.3">
      <c r="B13" s="86"/>
      <c r="C13" s="85"/>
    </row>
    <row r="14" spans="2:3" ht="20.45" customHeight="1" x14ac:dyDescent="0.25">
      <c r="B14" s="85" t="s">
        <v>55</v>
      </c>
      <c r="C14" s="85"/>
    </row>
    <row r="15" spans="2:3" x14ac:dyDescent="0.25">
      <c r="B15" s="85" t="s">
        <v>123</v>
      </c>
      <c r="C15" s="85"/>
    </row>
    <row r="16" spans="2:3" x14ac:dyDescent="0.25">
      <c r="B16" s="85" t="s">
        <v>213</v>
      </c>
      <c r="C16" s="85"/>
    </row>
    <row r="17" spans="2:3" x14ac:dyDescent="0.25">
      <c r="B17" s="85"/>
      <c r="C17" s="85"/>
    </row>
    <row r="18" spans="2:3" ht="17.649999999999999" customHeight="1" x14ac:dyDescent="0.25">
      <c r="B18" s="87" t="s">
        <v>102</v>
      </c>
      <c r="C18" s="85"/>
    </row>
    <row r="19" spans="2:3" ht="17.649999999999999" customHeight="1" x14ac:dyDescent="0.25">
      <c r="B19" s="87" t="s">
        <v>103</v>
      </c>
      <c r="C19" s="85"/>
    </row>
    <row r="20" spans="2:3" ht="17.649999999999999" customHeight="1" x14ac:dyDescent="0.25">
      <c r="B20" s="85"/>
      <c r="C20" s="85"/>
    </row>
    <row r="21" spans="2:3" ht="14.65" customHeight="1" x14ac:dyDescent="0.25">
      <c r="B21" s="85" t="s">
        <v>74</v>
      </c>
      <c r="C21" s="85"/>
    </row>
    <row r="22" spans="2:3" x14ac:dyDescent="0.25">
      <c r="B22" s="85"/>
      <c r="C22" s="85"/>
    </row>
    <row r="23" spans="2:3" ht="19.5" customHeight="1" x14ac:dyDescent="0.25">
      <c r="B23" s="85"/>
      <c r="C23" s="85" t="s">
        <v>75</v>
      </c>
    </row>
    <row r="24" spans="2:3" x14ac:dyDescent="0.25">
      <c r="B24" s="85"/>
      <c r="C24" s="85" t="s">
        <v>104</v>
      </c>
    </row>
    <row r="25" spans="2:3" x14ac:dyDescent="0.25">
      <c r="B25" s="85"/>
      <c r="C25" s="85" t="s">
        <v>124</v>
      </c>
    </row>
    <row r="26" spans="2:3" x14ac:dyDescent="0.25">
      <c r="B26" s="85"/>
      <c r="C26" s="85"/>
    </row>
    <row r="27" spans="2:3" x14ac:dyDescent="0.25">
      <c r="B27" s="85"/>
      <c r="C27" s="85"/>
    </row>
    <row r="28" spans="2:3" x14ac:dyDescent="0.25">
      <c r="C28" t="s">
        <v>105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W90"/>
  <sheetViews>
    <sheetView zoomScale="115" zoomScaleNormal="115" workbookViewId="0"/>
  </sheetViews>
  <sheetFormatPr defaultRowHeight="15" x14ac:dyDescent="0.25"/>
  <cols>
    <col min="1" max="2" width="2.7109375" customWidth="1"/>
    <col min="3" max="6" width="14.7109375" customWidth="1"/>
    <col min="7" max="7" width="16.28515625" customWidth="1"/>
    <col min="8" max="8" width="13.28515625" customWidth="1"/>
    <col min="9" max="9" width="8.7109375" customWidth="1"/>
  </cols>
  <sheetData>
    <row r="5" spans="23:23" ht="75" customHeight="1" x14ac:dyDescent="0.25"/>
    <row r="12" spans="23:23" x14ac:dyDescent="0.25">
      <c r="W12">
        <v>1</v>
      </c>
    </row>
    <row r="18" spans="3:19" x14ac:dyDescent="0.25">
      <c r="C18" s="38"/>
    </row>
    <row r="19" spans="3:19" x14ac:dyDescent="0.25">
      <c r="C19" s="38"/>
    </row>
    <row r="20" spans="3:19" x14ac:dyDescent="0.25">
      <c r="C20" s="16" t="s">
        <v>61</v>
      </c>
    </row>
    <row r="21" spans="3:19" ht="15.75" thickBot="1" x14ac:dyDescent="0.3">
      <c r="C21" s="6" t="s">
        <v>8</v>
      </c>
      <c r="F21" s="2">
        <v>425000</v>
      </c>
      <c r="G21" t="s">
        <v>86</v>
      </c>
      <c r="N21" t="s">
        <v>78</v>
      </c>
      <c r="O21">
        <f>IF(F25="Annual",1,IF(F25="Quarterly",4,12))</f>
        <v>12</v>
      </c>
      <c r="P21">
        <v>1</v>
      </c>
    </row>
    <row r="22" spans="3:19" ht="15.75" thickBot="1" x14ac:dyDescent="0.3">
      <c r="C22" s="38" t="s">
        <v>81</v>
      </c>
      <c r="F22" s="45">
        <v>3</v>
      </c>
      <c r="G22" t="s">
        <v>89</v>
      </c>
      <c r="H22" s="5">
        <f>D31*Term*Periods+F24-F21</f>
        <v>32625.299894457159</v>
      </c>
      <c r="N22" t="s">
        <v>79</v>
      </c>
      <c r="P22">
        <v>2</v>
      </c>
    </row>
    <row r="23" spans="3:19" x14ac:dyDescent="0.25">
      <c r="C23" s="6" t="s">
        <v>9</v>
      </c>
      <c r="F23" s="3">
        <v>4.1500000000000002E-2</v>
      </c>
      <c r="N23" t="s">
        <v>80</v>
      </c>
      <c r="P23">
        <v>3</v>
      </c>
    </row>
    <row r="24" spans="3:19" ht="15.75" thickBot="1" x14ac:dyDescent="0.3">
      <c r="C24" s="6" t="s">
        <v>10</v>
      </c>
      <c r="F24" s="2">
        <v>82500</v>
      </c>
      <c r="G24" t="s">
        <v>87</v>
      </c>
      <c r="P24">
        <v>4</v>
      </c>
    </row>
    <row r="25" spans="3:19" ht="15.75" thickBot="1" x14ac:dyDescent="0.3">
      <c r="C25" s="38" t="s">
        <v>60</v>
      </c>
      <c r="F25" t="s">
        <v>80</v>
      </c>
      <c r="G25" t="s">
        <v>88</v>
      </c>
      <c r="H25" s="50">
        <f>EFFECT(Rate,Periods)</f>
        <v>4.2298535402630844E-2</v>
      </c>
      <c r="P25">
        <v>5</v>
      </c>
    </row>
    <row r="26" spans="3:19" ht="4.1500000000000004" customHeight="1" thickBot="1" x14ac:dyDescent="0.3">
      <c r="C26" s="39"/>
      <c r="D26" s="8"/>
      <c r="E26" s="8"/>
      <c r="F26" s="8"/>
      <c r="G26" s="8"/>
      <c r="H26" s="8"/>
      <c r="I26" s="8"/>
      <c r="J26" s="8"/>
      <c r="K26" s="8"/>
      <c r="L26" s="8"/>
      <c r="M26" s="8"/>
      <c r="N26" s="15"/>
      <c r="O26" s="15"/>
      <c r="P26" s="15"/>
      <c r="Q26" s="15"/>
      <c r="R26" s="15"/>
      <c r="S26" s="15"/>
    </row>
    <row r="27" spans="3:19" ht="6" customHeight="1" x14ac:dyDescent="0.25"/>
    <row r="28" spans="3:19" ht="6" customHeight="1" thickBot="1" x14ac:dyDescent="0.3"/>
    <row r="29" spans="3:19" ht="30.75" thickBot="1" x14ac:dyDescent="0.3">
      <c r="C29" s="9" t="s">
        <v>11</v>
      </c>
      <c r="D29" s="10" t="s">
        <v>4</v>
      </c>
      <c r="E29" s="10" t="s">
        <v>12</v>
      </c>
      <c r="F29" s="10" t="s">
        <v>13</v>
      </c>
      <c r="G29" s="11" t="s">
        <v>14</v>
      </c>
    </row>
    <row r="30" spans="3:19" x14ac:dyDescent="0.25">
      <c r="C30" s="12">
        <v>0</v>
      </c>
      <c r="D30" s="13"/>
      <c r="E30" s="13"/>
      <c r="F30" s="13"/>
      <c r="G30" s="46">
        <f>F21</f>
        <v>425000</v>
      </c>
    </row>
    <row r="31" spans="3:19" x14ac:dyDescent="0.25">
      <c r="C31" s="12">
        <v>1</v>
      </c>
      <c r="D31" s="14">
        <f>PMT(Rate/Periods,Term*Periods,-F21,F24)</f>
        <v>10420.147219290477</v>
      </c>
      <c r="E31" s="13">
        <f t="shared" ref="E31:E62" si="0">IF(C31&gt;Term*Periods,"",G30*Rate/Periods)</f>
        <v>1469.7916666666667</v>
      </c>
      <c r="F31" s="14">
        <f t="shared" ref="F31:F62" si="1">IF(C31&gt;Term*Periods,"",D31-E31)</f>
        <v>8950.3555526238106</v>
      </c>
      <c r="G31" s="13">
        <f t="shared" ref="G31:G62" si="2">IF(C31&gt;Term*Periods,"",G30-F31)</f>
        <v>416049.64444737619</v>
      </c>
      <c r="K31" t="s">
        <v>15</v>
      </c>
    </row>
    <row r="32" spans="3:19" x14ac:dyDescent="0.25">
      <c r="C32" s="12">
        <v>2</v>
      </c>
      <c r="D32" s="14">
        <f t="shared" ref="D32:D63" si="3">IF(C32&gt;Term*Periods,"",IF(C32=Term*Periods,$D$31+$F$24,$D$31))</f>
        <v>10420.147219290477</v>
      </c>
      <c r="E32" s="13">
        <f t="shared" si="0"/>
        <v>1438.8383537138427</v>
      </c>
      <c r="F32" s="14">
        <f t="shared" si="1"/>
        <v>8981.3088655766333</v>
      </c>
      <c r="G32" s="13">
        <f t="shared" si="2"/>
        <v>407068.33558179956</v>
      </c>
    </row>
    <row r="33" spans="3:7" x14ac:dyDescent="0.25">
      <c r="C33" s="12">
        <v>3</v>
      </c>
      <c r="D33" s="14">
        <f t="shared" si="3"/>
        <v>10420.147219290477</v>
      </c>
      <c r="E33" s="13">
        <f t="shared" si="0"/>
        <v>1407.7779938870569</v>
      </c>
      <c r="F33" s="14">
        <f t="shared" si="1"/>
        <v>9012.3692254034195</v>
      </c>
      <c r="G33" s="13">
        <f t="shared" si="2"/>
        <v>398055.96635639615</v>
      </c>
    </row>
    <row r="34" spans="3:7" x14ac:dyDescent="0.25">
      <c r="C34" s="12">
        <v>4</v>
      </c>
      <c r="D34" s="14">
        <f t="shared" si="3"/>
        <v>10420.147219290477</v>
      </c>
      <c r="E34" s="13">
        <f t="shared" si="0"/>
        <v>1376.6102169825369</v>
      </c>
      <c r="F34" s="14">
        <f t="shared" si="1"/>
        <v>9043.5370023079395</v>
      </c>
      <c r="G34" s="13">
        <f t="shared" si="2"/>
        <v>389012.42935408821</v>
      </c>
    </row>
    <row r="35" spans="3:7" x14ac:dyDescent="0.25">
      <c r="C35" s="12">
        <v>5</v>
      </c>
      <c r="D35" s="14">
        <f t="shared" si="3"/>
        <v>10420.147219290477</v>
      </c>
      <c r="E35" s="13">
        <f t="shared" si="0"/>
        <v>1345.3346515162218</v>
      </c>
      <c r="F35" s="14">
        <f t="shared" si="1"/>
        <v>9074.8125677742555</v>
      </c>
      <c r="G35" s="13">
        <f t="shared" si="2"/>
        <v>379937.61678631394</v>
      </c>
    </row>
    <row r="36" spans="3:7" x14ac:dyDescent="0.25">
      <c r="C36" s="12">
        <v>6</v>
      </c>
      <c r="D36" s="14">
        <f t="shared" si="3"/>
        <v>10420.147219290477</v>
      </c>
      <c r="E36" s="13">
        <f t="shared" si="0"/>
        <v>1313.9509247193357</v>
      </c>
      <c r="F36" s="14">
        <f t="shared" si="1"/>
        <v>9106.1962945711402</v>
      </c>
      <c r="G36" s="13">
        <f t="shared" si="2"/>
        <v>370831.42049174279</v>
      </c>
    </row>
    <row r="37" spans="3:7" x14ac:dyDescent="0.25">
      <c r="C37" s="12">
        <v>7</v>
      </c>
      <c r="D37" s="14">
        <f t="shared" si="3"/>
        <v>10420.147219290477</v>
      </c>
      <c r="E37" s="13">
        <f t="shared" si="0"/>
        <v>1282.4586625339439</v>
      </c>
      <c r="F37" s="14">
        <f t="shared" si="1"/>
        <v>9137.6885567565332</v>
      </c>
      <c r="G37" s="13">
        <f t="shared" si="2"/>
        <v>361693.73193498625</v>
      </c>
    </row>
    <row r="38" spans="3:7" x14ac:dyDescent="0.25">
      <c r="C38" s="12">
        <v>8</v>
      </c>
      <c r="D38" s="14">
        <f t="shared" si="3"/>
        <v>10420.147219290477</v>
      </c>
      <c r="E38" s="13">
        <f t="shared" si="0"/>
        <v>1250.8574896084942</v>
      </c>
      <c r="F38" s="14">
        <f t="shared" si="1"/>
        <v>9169.2897296819829</v>
      </c>
      <c r="G38" s="13">
        <f t="shared" si="2"/>
        <v>352524.44220530428</v>
      </c>
    </row>
    <row r="39" spans="3:7" x14ac:dyDescent="0.25">
      <c r="C39" s="12">
        <v>9</v>
      </c>
      <c r="D39" s="14">
        <f t="shared" si="3"/>
        <v>10420.147219290477</v>
      </c>
      <c r="E39" s="13">
        <f t="shared" si="0"/>
        <v>1219.1470292933441</v>
      </c>
      <c r="F39" s="14">
        <f t="shared" si="1"/>
        <v>9201.0001899971321</v>
      </c>
      <c r="G39" s="13">
        <f t="shared" si="2"/>
        <v>343323.44201530714</v>
      </c>
    </row>
    <row r="40" spans="3:7" x14ac:dyDescent="0.25">
      <c r="C40" s="12">
        <v>10</v>
      </c>
      <c r="D40" s="14">
        <f t="shared" si="3"/>
        <v>10420.147219290477</v>
      </c>
      <c r="E40" s="13">
        <f t="shared" si="0"/>
        <v>1187.3269036362706</v>
      </c>
      <c r="F40" s="14">
        <f t="shared" si="1"/>
        <v>9232.8203156542058</v>
      </c>
      <c r="G40" s="13">
        <f t="shared" si="2"/>
        <v>334090.62169965293</v>
      </c>
    </row>
    <row r="41" spans="3:7" x14ac:dyDescent="0.25">
      <c r="C41" s="12">
        <v>11</v>
      </c>
      <c r="D41" s="14">
        <f t="shared" si="3"/>
        <v>10420.147219290477</v>
      </c>
      <c r="E41" s="13">
        <f t="shared" si="0"/>
        <v>1155.3967333779665</v>
      </c>
      <c r="F41" s="14">
        <f t="shared" si="1"/>
        <v>9264.7504859125111</v>
      </c>
      <c r="G41" s="13">
        <f t="shared" si="2"/>
        <v>324825.87121374044</v>
      </c>
    </row>
    <row r="42" spans="3:7" x14ac:dyDescent="0.25">
      <c r="C42" s="12">
        <v>12</v>
      </c>
      <c r="D42" s="14">
        <f t="shared" si="3"/>
        <v>10420.147219290477</v>
      </c>
      <c r="E42" s="13">
        <f t="shared" si="0"/>
        <v>1123.3561379475191</v>
      </c>
      <c r="F42" s="14">
        <f t="shared" si="1"/>
        <v>9296.7910813429571</v>
      </c>
      <c r="G42" s="13">
        <f t="shared" si="2"/>
        <v>315529.08013239747</v>
      </c>
    </row>
    <row r="43" spans="3:7" x14ac:dyDescent="0.25">
      <c r="C43" s="12">
        <v>13</v>
      </c>
      <c r="D43" s="14">
        <f t="shared" si="3"/>
        <v>10420.147219290477</v>
      </c>
      <c r="E43" s="13">
        <f t="shared" si="0"/>
        <v>1091.2047354578747</v>
      </c>
      <c r="F43" s="14">
        <f t="shared" si="1"/>
        <v>9328.9424838326013</v>
      </c>
      <c r="G43" s="13">
        <f t="shared" si="2"/>
        <v>306200.13764856488</v>
      </c>
    </row>
    <row r="44" spans="3:7" x14ac:dyDescent="0.25">
      <c r="C44" s="12">
        <v>14</v>
      </c>
      <c r="D44" s="14">
        <f t="shared" si="3"/>
        <v>10420.147219290477</v>
      </c>
      <c r="E44" s="13">
        <f t="shared" si="0"/>
        <v>1058.9421427012869</v>
      </c>
      <c r="F44" s="14">
        <f t="shared" si="1"/>
        <v>9361.205076589189</v>
      </c>
      <c r="G44" s="13">
        <f t="shared" si="2"/>
        <v>296838.93257197569</v>
      </c>
    </row>
    <row r="45" spans="3:7" x14ac:dyDescent="0.25">
      <c r="C45" s="12">
        <v>15</v>
      </c>
      <c r="D45" s="14">
        <f t="shared" si="3"/>
        <v>10420.147219290477</v>
      </c>
      <c r="E45" s="13">
        <f t="shared" si="0"/>
        <v>1026.5679751447494</v>
      </c>
      <c r="F45" s="14">
        <f t="shared" si="1"/>
        <v>9393.579244145727</v>
      </c>
      <c r="G45" s="13">
        <f t="shared" si="2"/>
        <v>287445.35332782997</v>
      </c>
    </row>
    <row r="46" spans="3:7" x14ac:dyDescent="0.25">
      <c r="C46" s="12">
        <v>16</v>
      </c>
      <c r="D46" s="14">
        <f t="shared" si="3"/>
        <v>10420.147219290477</v>
      </c>
      <c r="E46" s="13">
        <f t="shared" si="0"/>
        <v>994.08184692541215</v>
      </c>
      <c r="F46" s="14">
        <f t="shared" si="1"/>
        <v>9426.0653723650648</v>
      </c>
      <c r="G46" s="13">
        <f t="shared" si="2"/>
        <v>278019.28795546491</v>
      </c>
    </row>
    <row r="47" spans="3:7" x14ac:dyDescent="0.25">
      <c r="C47" s="12">
        <v>17</v>
      </c>
      <c r="D47" s="14">
        <f t="shared" si="3"/>
        <v>10420.147219290477</v>
      </c>
      <c r="E47" s="13">
        <f t="shared" si="0"/>
        <v>961.4833708459829</v>
      </c>
      <c r="F47" s="14">
        <f t="shared" si="1"/>
        <v>9458.6638484444939</v>
      </c>
      <c r="G47" s="13">
        <f t="shared" si="2"/>
        <v>268560.62410702044</v>
      </c>
    </row>
    <row r="48" spans="3:7" x14ac:dyDescent="0.25">
      <c r="C48" s="12">
        <v>18</v>
      </c>
      <c r="D48" s="14">
        <f t="shared" si="3"/>
        <v>10420.147219290477</v>
      </c>
      <c r="E48" s="13">
        <f t="shared" si="0"/>
        <v>928.77215837011238</v>
      </c>
      <c r="F48" s="14">
        <f t="shared" si="1"/>
        <v>9491.3750609203635</v>
      </c>
      <c r="G48" s="13">
        <f t="shared" si="2"/>
        <v>259069.24904610007</v>
      </c>
    </row>
    <row r="49" spans="3:7" x14ac:dyDescent="0.25">
      <c r="C49" s="12">
        <v>19</v>
      </c>
      <c r="D49" s="14">
        <f t="shared" si="3"/>
        <v>10420.147219290477</v>
      </c>
      <c r="E49" s="13">
        <f t="shared" si="0"/>
        <v>895.94781961776278</v>
      </c>
      <c r="F49" s="14">
        <f t="shared" si="1"/>
        <v>9524.1993996727142</v>
      </c>
      <c r="G49" s="13">
        <f t="shared" si="2"/>
        <v>249545.04964642736</v>
      </c>
    </row>
    <row r="50" spans="3:7" x14ac:dyDescent="0.25">
      <c r="C50" s="12">
        <v>20</v>
      </c>
      <c r="D50" s="14">
        <f t="shared" si="3"/>
        <v>10420.147219290477</v>
      </c>
      <c r="E50" s="13">
        <f t="shared" si="0"/>
        <v>863.0099633605613</v>
      </c>
      <c r="F50" s="14">
        <f t="shared" si="1"/>
        <v>9557.1372559299161</v>
      </c>
      <c r="G50" s="13">
        <f t="shared" si="2"/>
        <v>239987.91239049745</v>
      </c>
    </row>
    <row r="51" spans="3:7" x14ac:dyDescent="0.25">
      <c r="C51" s="12">
        <v>21</v>
      </c>
      <c r="D51" s="14">
        <f t="shared" si="3"/>
        <v>10420.147219290477</v>
      </c>
      <c r="E51" s="13">
        <f t="shared" si="0"/>
        <v>829.95819701713708</v>
      </c>
      <c r="F51" s="14">
        <f t="shared" si="1"/>
        <v>9590.18902227334</v>
      </c>
      <c r="G51" s="13">
        <f t="shared" si="2"/>
        <v>230397.72336822411</v>
      </c>
    </row>
    <row r="52" spans="3:7" x14ac:dyDescent="0.25">
      <c r="C52" s="12">
        <v>22</v>
      </c>
      <c r="D52" s="14">
        <f t="shared" si="3"/>
        <v>10420.147219290477</v>
      </c>
      <c r="E52" s="13">
        <f t="shared" si="0"/>
        <v>796.79212664844181</v>
      </c>
      <c r="F52" s="14">
        <f t="shared" si="1"/>
        <v>9623.3550926420357</v>
      </c>
      <c r="G52" s="13">
        <f t="shared" si="2"/>
        <v>220774.36827558206</v>
      </c>
    </row>
    <row r="53" spans="3:7" x14ac:dyDescent="0.25">
      <c r="C53" s="12">
        <v>23</v>
      </c>
      <c r="D53" s="14">
        <f t="shared" si="3"/>
        <v>10420.147219290477</v>
      </c>
      <c r="E53" s="13">
        <f t="shared" si="0"/>
        <v>763.51135695305459</v>
      </c>
      <c r="F53" s="14">
        <f t="shared" si="1"/>
        <v>9656.6358623374217</v>
      </c>
      <c r="G53" s="13">
        <f t="shared" si="2"/>
        <v>211117.73241324464</v>
      </c>
    </row>
    <row r="54" spans="3:7" x14ac:dyDescent="0.25">
      <c r="C54" s="12">
        <v>24</v>
      </c>
      <c r="D54" s="14">
        <f t="shared" si="3"/>
        <v>10420.147219290477</v>
      </c>
      <c r="E54" s="13">
        <f t="shared" si="0"/>
        <v>730.1154912624711</v>
      </c>
      <c r="F54" s="14">
        <f t="shared" si="1"/>
        <v>9690.0317280280051</v>
      </c>
      <c r="G54" s="13">
        <f t="shared" si="2"/>
        <v>201427.70068521664</v>
      </c>
    </row>
    <row r="55" spans="3:7" x14ac:dyDescent="0.25">
      <c r="C55" s="12">
        <v>25</v>
      </c>
      <c r="D55" s="14">
        <f t="shared" si="3"/>
        <v>10420.147219290477</v>
      </c>
      <c r="E55" s="13">
        <f t="shared" si="0"/>
        <v>696.60413153637421</v>
      </c>
      <c r="F55" s="14">
        <f t="shared" si="1"/>
        <v>9723.5430877541021</v>
      </c>
      <c r="G55" s="13">
        <f t="shared" si="2"/>
        <v>191704.15759746253</v>
      </c>
    </row>
    <row r="56" spans="3:7" x14ac:dyDescent="0.25">
      <c r="C56" s="12">
        <v>26</v>
      </c>
      <c r="D56" s="14">
        <f t="shared" si="3"/>
        <v>10420.147219290477</v>
      </c>
      <c r="E56" s="13">
        <f t="shared" si="0"/>
        <v>662.97687835789122</v>
      </c>
      <c r="F56" s="14">
        <f t="shared" si="1"/>
        <v>9757.1703409325855</v>
      </c>
      <c r="G56" s="13">
        <f t="shared" si="2"/>
        <v>181946.98725652994</v>
      </c>
    </row>
    <row r="57" spans="3:7" x14ac:dyDescent="0.25">
      <c r="C57" s="12">
        <v>27</v>
      </c>
      <c r="D57" s="14">
        <f t="shared" si="3"/>
        <v>10420.147219290477</v>
      </c>
      <c r="E57" s="13">
        <f t="shared" si="0"/>
        <v>629.23333092883274</v>
      </c>
      <c r="F57" s="14">
        <f t="shared" si="1"/>
        <v>9790.9138883616433</v>
      </c>
      <c r="G57" s="13">
        <f t="shared" si="2"/>
        <v>172156.07336816829</v>
      </c>
    </row>
    <row r="58" spans="3:7" x14ac:dyDescent="0.25">
      <c r="C58" s="12">
        <v>28</v>
      </c>
      <c r="D58" s="14">
        <f t="shared" si="3"/>
        <v>10420.147219290477</v>
      </c>
      <c r="E58" s="13">
        <f t="shared" si="0"/>
        <v>595.37308706491535</v>
      </c>
      <c r="F58" s="14">
        <f t="shared" si="1"/>
        <v>9824.7741322255606</v>
      </c>
      <c r="G58" s="13">
        <f t="shared" si="2"/>
        <v>162331.29923594272</v>
      </c>
    </row>
    <row r="59" spans="3:7" x14ac:dyDescent="0.25">
      <c r="C59" s="12">
        <v>29</v>
      </c>
      <c r="D59" s="14">
        <f t="shared" si="3"/>
        <v>10420.147219290477</v>
      </c>
      <c r="E59" s="13">
        <f t="shared" si="0"/>
        <v>561.39574319096857</v>
      </c>
      <c r="F59" s="14">
        <f t="shared" si="1"/>
        <v>9858.7514760995073</v>
      </c>
      <c r="G59" s="13">
        <f t="shared" si="2"/>
        <v>152472.5477598432</v>
      </c>
    </row>
    <row r="60" spans="3:7" x14ac:dyDescent="0.25">
      <c r="C60" s="12">
        <v>30</v>
      </c>
      <c r="D60" s="14">
        <f t="shared" si="3"/>
        <v>10420.147219290477</v>
      </c>
      <c r="E60" s="13">
        <f t="shared" si="0"/>
        <v>527.30089433612443</v>
      </c>
      <c r="F60" s="14">
        <f t="shared" si="1"/>
        <v>9892.8463249543529</v>
      </c>
      <c r="G60" s="13">
        <f t="shared" si="2"/>
        <v>142579.70143488885</v>
      </c>
    </row>
    <row r="61" spans="3:7" x14ac:dyDescent="0.25">
      <c r="C61" s="12">
        <v>31</v>
      </c>
      <c r="D61" s="14">
        <f t="shared" si="3"/>
        <v>10420.147219290477</v>
      </c>
      <c r="E61" s="13">
        <f t="shared" si="0"/>
        <v>493.08813412899059</v>
      </c>
      <c r="F61" s="14">
        <f t="shared" si="1"/>
        <v>9927.0590851614852</v>
      </c>
      <c r="G61" s="13">
        <f t="shared" si="2"/>
        <v>132652.64234972736</v>
      </c>
    </row>
    <row r="62" spans="3:7" x14ac:dyDescent="0.25">
      <c r="C62" s="12">
        <v>32</v>
      </c>
      <c r="D62" s="14">
        <f t="shared" si="3"/>
        <v>10420.147219290477</v>
      </c>
      <c r="E62" s="13">
        <f t="shared" si="0"/>
        <v>458.75705479280714</v>
      </c>
      <c r="F62" s="14">
        <f t="shared" si="1"/>
        <v>9961.3901644976686</v>
      </c>
      <c r="G62" s="13">
        <f t="shared" si="2"/>
        <v>122691.25218522969</v>
      </c>
    </row>
    <row r="63" spans="3:7" x14ac:dyDescent="0.25">
      <c r="C63" s="12">
        <v>33</v>
      </c>
      <c r="D63" s="14">
        <f t="shared" si="3"/>
        <v>10420.147219290477</v>
      </c>
      <c r="E63" s="13">
        <f t="shared" ref="E63:E90" si="4">IF(C63&gt;Term*Periods,"",G62*Rate/Periods)</f>
        <v>424.30724714058601</v>
      </c>
      <c r="F63" s="14">
        <f t="shared" ref="F63:F90" si="5">IF(C63&gt;Term*Periods,"",D63-E63)</f>
        <v>9995.8399721498899</v>
      </c>
      <c r="G63" s="13">
        <f t="shared" ref="G63:G90" si="6">IF(C63&gt;Term*Periods,"",G62-F63)</f>
        <v>112695.41221307981</v>
      </c>
    </row>
    <row r="64" spans="3:7" x14ac:dyDescent="0.25">
      <c r="C64" s="12">
        <v>34</v>
      </c>
      <c r="D64" s="14">
        <f t="shared" ref="D64:D90" si="7">IF(C64&gt;Term*Periods,"",IF(C64=Term*Periods,$D$31+$F$24,$D$31))</f>
        <v>10420.147219290477</v>
      </c>
      <c r="E64" s="13">
        <f t="shared" si="4"/>
        <v>389.73830057023434</v>
      </c>
      <c r="F64" s="14">
        <f t="shared" si="5"/>
        <v>10030.408918720243</v>
      </c>
      <c r="G64" s="13">
        <f t="shared" si="6"/>
        <v>102665.00329435956</v>
      </c>
    </row>
    <row r="65" spans="3:7" x14ac:dyDescent="0.25">
      <c r="C65" s="12">
        <v>35</v>
      </c>
      <c r="D65" s="14">
        <f t="shared" si="7"/>
        <v>10420.147219290477</v>
      </c>
      <c r="E65" s="13">
        <f t="shared" si="4"/>
        <v>355.04980305966018</v>
      </c>
      <c r="F65" s="14">
        <f t="shared" si="5"/>
        <v>10065.097416230816</v>
      </c>
      <c r="G65" s="13">
        <f t="shared" si="6"/>
        <v>92599.905878128746</v>
      </c>
    </row>
    <row r="66" spans="3:7" x14ac:dyDescent="0.25">
      <c r="C66" s="12">
        <v>36</v>
      </c>
      <c r="D66" s="14">
        <f t="shared" si="7"/>
        <v>92920.147219290477</v>
      </c>
      <c r="E66" s="13">
        <f t="shared" si="4"/>
        <v>320.24134116186195</v>
      </c>
      <c r="F66" s="14">
        <f t="shared" si="5"/>
        <v>92599.905878128615</v>
      </c>
      <c r="G66" s="13">
        <f t="shared" si="6"/>
        <v>1.3096723705530167E-10</v>
      </c>
    </row>
    <row r="67" spans="3:7" x14ac:dyDescent="0.25">
      <c r="C67" s="12">
        <v>37</v>
      </c>
      <c r="D67" s="14" t="str">
        <f t="shared" si="7"/>
        <v/>
      </c>
      <c r="E67" s="13" t="str">
        <f t="shared" si="4"/>
        <v/>
      </c>
      <c r="F67" s="14" t="str">
        <f t="shared" si="5"/>
        <v/>
      </c>
      <c r="G67" s="13" t="str">
        <f t="shared" si="6"/>
        <v/>
      </c>
    </row>
    <row r="68" spans="3:7" x14ac:dyDescent="0.25">
      <c r="C68" s="12">
        <v>38</v>
      </c>
      <c r="D68" s="14" t="str">
        <f t="shared" si="7"/>
        <v/>
      </c>
      <c r="E68" s="13" t="str">
        <f t="shared" si="4"/>
        <v/>
      </c>
      <c r="F68" s="14" t="str">
        <f t="shared" si="5"/>
        <v/>
      </c>
      <c r="G68" s="13" t="str">
        <f t="shared" si="6"/>
        <v/>
      </c>
    </row>
    <row r="69" spans="3:7" x14ac:dyDescent="0.25">
      <c r="C69" s="12">
        <v>39</v>
      </c>
      <c r="D69" s="14" t="str">
        <f t="shared" si="7"/>
        <v/>
      </c>
      <c r="E69" s="13" t="str">
        <f t="shared" si="4"/>
        <v/>
      </c>
      <c r="F69" s="14" t="str">
        <f t="shared" si="5"/>
        <v/>
      </c>
      <c r="G69" s="13" t="str">
        <f t="shared" si="6"/>
        <v/>
      </c>
    </row>
    <row r="70" spans="3:7" x14ac:dyDescent="0.25">
      <c r="C70" s="12">
        <v>40</v>
      </c>
      <c r="D70" s="14" t="str">
        <f t="shared" si="7"/>
        <v/>
      </c>
      <c r="E70" s="13" t="str">
        <f t="shared" si="4"/>
        <v/>
      </c>
      <c r="F70" s="14" t="str">
        <f t="shared" si="5"/>
        <v/>
      </c>
      <c r="G70" s="13" t="str">
        <f t="shared" si="6"/>
        <v/>
      </c>
    </row>
    <row r="71" spans="3:7" x14ac:dyDescent="0.25">
      <c r="C71" s="12">
        <v>41</v>
      </c>
      <c r="D71" s="14" t="str">
        <f t="shared" si="7"/>
        <v/>
      </c>
      <c r="E71" s="13" t="str">
        <f t="shared" si="4"/>
        <v/>
      </c>
      <c r="F71" s="14" t="str">
        <f t="shared" si="5"/>
        <v/>
      </c>
      <c r="G71" s="13" t="str">
        <f t="shared" si="6"/>
        <v/>
      </c>
    </row>
    <row r="72" spans="3:7" x14ac:dyDescent="0.25">
      <c r="C72" s="12">
        <v>42</v>
      </c>
      <c r="D72" s="14" t="str">
        <f t="shared" si="7"/>
        <v/>
      </c>
      <c r="E72" s="13" t="str">
        <f t="shared" si="4"/>
        <v/>
      </c>
      <c r="F72" s="14" t="str">
        <f t="shared" si="5"/>
        <v/>
      </c>
      <c r="G72" s="13" t="str">
        <f t="shared" si="6"/>
        <v/>
      </c>
    </row>
    <row r="73" spans="3:7" x14ac:dyDescent="0.25">
      <c r="C73" s="12">
        <v>43</v>
      </c>
      <c r="D73" s="14" t="str">
        <f t="shared" si="7"/>
        <v/>
      </c>
      <c r="E73" s="13" t="str">
        <f t="shared" si="4"/>
        <v/>
      </c>
      <c r="F73" s="14" t="str">
        <f t="shared" si="5"/>
        <v/>
      </c>
      <c r="G73" s="13" t="str">
        <f t="shared" si="6"/>
        <v/>
      </c>
    </row>
    <row r="74" spans="3:7" x14ac:dyDescent="0.25">
      <c r="C74" s="12">
        <v>44</v>
      </c>
      <c r="D74" s="14" t="str">
        <f t="shared" si="7"/>
        <v/>
      </c>
      <c r="E74" s="13" t="str">
        <f t="shared" si="4"/>
        <v/>
      </c>
      <c r="F74" s="14" t="str">
        <f t="shared" si="5"/>
        <v/>
      </c>
      <c r="G74" s="13" t="str">
        <f t="shared" si="6"/>
        <v/>
      </c>
    </row>
    <row r="75" spans="3:7" x14ac:dyDescent="0.25">
      <c r="C75" s="12">
        <v>45</v>
      </c>
      <c r="D75" s="14" t="str">
        <f t="shared" si="7"/>
        <v/>
      </c>
      <c r="E75" s="13" t="str">
        <f t="shared" si="4"/>
        <v/>
      </c>
      <c r="F75" s="14" t="str">
        <f t="shared" si="5"/>
        <v/>
      </c>
      <c r="G75" s="13" t="str">
        <f t="shared" si="6"/>
        <v/>
      </c>
    </row>
    <row r="76" spans="3:7" x14ac:dyDescent="0.25">
      <c r="C76" s="12">
        <v>46</v>
      </c>
      <c r="D76" s="14" t="str">
        <f t="shared" si="7"/>
        <v/>
      </c>
      <c r="E76" s="13" t="str">
        <f t="shared" si="4"/>
        <v/>
      </c>
      <c r="F76" s="14" t="str">
        <f t="shared" si="5"/>
        <v/>
      </c>
      <c r="G76" s="13" t="str">
        <f t="shared" si="6"/>
        <v/>
      </c>
    </row>
    <row r="77" spans="3:7" x14ac:dyDescent="0.25">
      <c r="C77" s="12">
        <v>47</v>
      </c>
      <c r="D77" s="14" t="str">
        <f t="shared" si="7"/>
        <v/>
      </c>
      <c r="E77" s="13" t="str">
        <f t="shared" si="4"/>
        <v/>
      </c>
      <c r="F77" s="14" t="str">
        <f t="shared" si="5"/>
        <v/>
      </c>
      <c r="G77" s="13" t="str">
        <f t="shared" si="6"/>
        <v/>
      </c>
    </row>
    <row r="78" spans="3:7" x14ac:dyDescent="0.25">
      <c r="C78" s="12">
        <v>48</v>
      </c>
      <c r="D78" s="14" t="str">
        <f t="shared" si="7"/>
        <v/>
      </c>
      <c r="E78" s="13" t="str">
        <f t="shared" si="4"/>
        <v/>
      </c>
      <c r="F78" s="14" t="str">
        <f t="shared" si="5"/>
        <v/>
      </c>
      <c r="G78" s="13" t="str">
        <f t="shared" si="6"/>
        <v/>
      </c>
    </row>
    <row r="79" spans="3:7" x14ac:dyDescent="0.25">
      <c r="C79" s="12">
        <v>49</v>
      </c>
      <c r="D79" s="14" t="str">
        <f t="shared" si="7"/>
        <v/>
      </c>
      <c r="E79" s="13" t="str">
        <f t="shared" si="4"/>
        <v/>
      </c>
      <c r="F79" s="14" t="str">
        <f t="shared" si="5"/>
        <v/>
      </c>
      <c r="G79" s="13" t="str">
        <f t="shared" si="6"/>
        <v/>
      </c>
    </row>
    <row r="80" spans="3:7" x14ac:dyDescent="0.25">
      <c r="C80" s="12">
        <v>50</v>
      </c>
      <c r="D80" s="14" t="str">
        <f t="shared" si="7"/>
        <v/>
      </c>
      <c r="E80" s="13" t="str">
        <f t="shared" si="4"/>
        <v/>
      </c>
      <c r="F80" s="14" t="str">
        <f t="shared" si="5"/>
        <v/>
      </c>
      <c r="G80" s="13" t="str">
        <f t="shared" si="6"/>
        <v/>
      </c>
    </row>
    <row r="81" spans="3:7" x14ac:dyDescent="0.25">
      <c r="C81" s="12">
        <v>51</v>
      </c>
      <c r="D81" s="14" t="str">
        <f t="shared" si="7"/>
        <v/>
      </c>
      <c r="E81" s="13" t="str">
        <f t="shared" si="4"/>
        <v/>
      </c>
      <c r="F81" s="14" t="str">
        <f t="shared" si="5"/>
        <v/>
      </c>
      <c r="G81" s="13" t="str">
        <f t="shared" si="6"/>
        <v/>
      </c>
    </row>
    <row r="82" spans="3:7" x14ac:dyDescent="0.25">
      <c r="C82" s="12">
        <v>52</v>
      </c>
      <c r="D82" s="14" t="str">
        <f t="shared" si="7"/>
        <v/>
      </c>
      <c r="E82" s="13" t="str">
        <f t="shared" si="4"/>
        <v/>
      </c>
      <c r="F82" s="14" t="str">
        <f t="shared" si="5"/>
        <v/>
      </c>
      <c r="G82" s="13" t="str">
        <f t="shared" si="6"/>
        <v/>
      </c>
    </row>
    <row r="83" spans="3:7" x14ac:dyDescent="0.25">
      <c r="C83" s="12">
        <v>53</v>
      </c>
      <c r="D83" s="14" t="str">
        <f t="shared" si="7"/>
        <v/>
      </c>
      <c r="E83" s="13" t="str">
        <f t="shared" si="4"/>
        <v/>
      </c>
      <c r="F83" s="14" t="str">
        <f t="shared" si="5"/>
        <v/>
      </c>
      <c r="G83" s="13" t="str">
        <f t="shared" si="6"/>
        <v/>
      </c>
    </row>
    <row r="84" spans="3:7" x14ac:dyDescent="0.25">
      <c r="C84" s="12">
        <v>54</v>
      </c>
      <c r="D84" s="14" t="str">
        <f t="shared" si="7"/>
        <v/>
      </c>
      <c r="E84" s="13" t="str">
        <f t="shared" si="4"/>
        <v/>
      </c>
      <c r="F84" s="14" t="str">
        <f t="shared" si="5"/>
        <v/>
      </c>
      <c r="G84" s="13" t="str">
        <f t="shared" si="6"/>
        <v/>
      </c>
    </row>
    <row r="85" spans="3:7" x14ac:dyDescent="0.25">
      <c r="C85" s="12">
        <v>55</v>
      </c>
      <c r="D85" s="14" t="str">
        <f t="shared" si="7"/>
        <v/>
      </c>
      <c r="E85" s="13" t="str">
        <f t="shared" si="4"/>
        <v/>
      </c>
      <c r="F85" s="14" t="str">
        <f t="shared" si="5"/>
        <v/>
      </c>
      <c r="G85" s="13" t="str">
        <f t="shared" si="6"/>
        <v/>
      </c>
    </row>
    <row r="86" spans="3:7" x14ac:dyDescent="0.25">
      <c r="C86" s="12">
        <v>56</v>
      </c>
      <c r="D86" s="14" t="str">
        <f t="shared" si="7"/>
        <v/>
      </c>
      <c r="E86" s="13" t="str">
        <f t="shared" si="4"/>
        <v/>
      </c>
      <c r="F86" s="14" t="str">
        <f t="shared" si="5"/>
        <v/>
      </c>
      <c r="G86" s="13" t="str">
        <f t="shared" si="6"/>
        <v/>
      </c>
    </row>
    <row r="87" spans="3:7" x14ac:dyDescent="0.25">
      <c r="C87" s="12">
        <v>57</v>
      </c>
      <c r="D87" s="14" t="str">
        <f t="shared" si="7"/>
        <v/>
      </c>
      <c r="E87" s="13" t="str">
        <f t="shared" si="4"/>
        <v/>
      </c>
      <c r="F87" s="14" t="str">
        <f t="shared" si="5"/>
        <v/>
      </c>
      <c r="G87" s="13" t="str">
        <f t="shared" si="6"/>
        <v/>
      </c>
    </row>
    <row r="88" spans="3:7" x14ac:dyDescent="0.25">
      <c r="C88" s="12">
        <v>58</v>
      </c>
      <c r="D88" s="14" t="str">
        <f t="shared" si="7"/>
        <v/>
      </c>
      <c r="E88" s="13" t="str">
        <f t="shared" si="4"/>
        <v/>
      </c>
      <c r="F88" s="14" t="str">
        <f t="shared" si="5"/>
        <v/>
      </c>
      <c r="G88" s="13" t="str">
        <f t="shared" si="6"/>
        <v/>
      </c>
    </row>
    <row r="89" spans="3:7" x14ac:dyDescent="0.25">
      <c r="C89" s="12">
        <v>59</v>
      </c>
      <c r="D89" s="14" t="str">
        <f t="shared" si="7"/>
        <v/>
      </c>
      <c r="E89" s="13" t="str">
        <f t="shared" si="4"/>
        <v/>
      </c>
      <c r="F89" s="14" t="str">
        <f t="shared" si="5"/>
        <v/>
      </c>
      <c r="G89" s="13" t="str">
        <f t="shared" si="6"/>
        <v/>
      </c>
    </row>
    <row r="90" spans="3:7" x14ac:dyDescent="0.25">
      <c r="C90" s="12">
        <v>60</v>
      </c>
      <c r="D90" s="14" t="str">
        <f t="shared" si="7"/>
        <v/>
      </c>
      <c r="E90" s="13" t="str">
        <f t="shared" si="4"/>
        <v/>
      </c>
      <c r="F90" s="14" t="str">
        <f t="shared" si="5"/>
        <v/>
      </c>
      <c r="G90" s="13" t="str">
        <f t="shared" si="6"/>
        <v/>
      </c>
    </row>
  </sheetData>
  <dataValidations count="5">
    <dataValidation type="list" allowBlank="1" showInputMessage="1" showErrorMessage="1" sqref="F25" xr:uid="{00000000-0002-0000-0100-000000000000}">
      <formula1>$N$21:$N$23</formula1>
    </dataValidation>
    <dataValidation type="list" allowBlank="1" showInputMessage="1" showErrorMessage="1" prompt="Select a value from the drop-down list._x000a_" sqref="F22" xr:uid="{00000000-0002-0000-0100-000001000000}">
      <formula1>$P$21:$P$25</formula1>
    </dataValidation>
    <dataValidation type="whole" operator="greaterThan" allowBlank="1" showInputMessage="1" showErrorMessage="1" prompt="This value must be a positive number greater than zero." sqref="F21" xr:uid="{00000000-0002-0000-0100-000002000000}">
      <formula1>0</formula1>
    </dataValidation>
    <dataValidation type="decimal" allowBlank="1" showInputMessage="1" showErrorMessage="1" prompt="This interest rate must be between 2% and 8%." sqref="F23" xr:uid="{00000000-0002-0000-0100-000003000000}">
      <formula1>0.02</formula1>
      <formula2>0.08</formula2>
    </dataValidation>
    <dataValidation type="whole" allowBlank="1" showInputMessage="1" showErrorMessage="1" prompt="This input must be between zero and the total amount of the loan." sqref="F24" xr:uid="{00000000-0002-0000-0100-000004000000}">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8:G31"/>
  <sheetViews>
    <sheetView zoomScale="115" zoomScaleNormal="115" workbookViewId="0"/>
  </sheetViews>
  <sheetFormatPr defaultColWidth="8.7109375" defaultRowHeight="15" x14ac:dyDescent="0.25"/>
  <cols>
    <col min="1" max="1" width="8.7109375" style="43"/>
    <col min="2" max="2" width="29.28515625" style="43" customWidth="1"/>
    <col min="3" max="3" width="12.7109375" style="43" customWidth="1"/>
    <col min="4" max="4" width="2.5703125" style="43" customWidth="1"/>
    <col min="5" max="5" width="15.7109375" style="43" customWidth="1"/>
    <col min="6" max="6" width="24" style="43" customWidth="1"/>
    <col min="7" max="7" width="18.42578125" style="43" customWidth="1"/>
    <col min="8" max="16384" width="8.7109375" style="43"/>
  </cols>
  <sheetData>
    <row r="18" spans="2:7" ht="15.75" thickBot="1" x14ac:dyDescent="0.3">
      <c r="B18" s="43" t="s">
        <v>62</v>
      </c>
      <c r="C18" s="44">
        <v>425000</v>
      </c>
      <c r="E18" s="43" t="s">
        <v>83</v>
      </c>
    </row>
    <row r="19" spans="2:7" ht="15.75" thickBot="1" x14ac:dyDescent="0.3">
      <c r="B19" s="43" t="s">
        <v>63</v>
      </c>
      <c r="C19" s="41">
        <v>3</v>
      </c>
      <c r="E19" s="43" t="s">
        <v>84</v>
      </c>
      <c r="G19" s="48">
        <f>PMT(C20/12,C19*12,-C18)</f>
        <v>12576.072279411541</v>
      </c>
    </row>
    <row r="20" spans="2:7" x14ac:dyDescent="0.25">
      <c r="B20" s="43" t="s">
        <v>16</v>
      </c>
      <c r="C20" s="51">
        <v>4.1500000000000002E-2</v>
      </c>
    </row>
    <row r="21" spans="2:7" x14ac:dyDescent="0.25">
      <c r="B21" s="43" t="s">
        <v>64</v>
      </c>
      <c r="C21" s="44">
        <v>2500</v>
      </c>
      <c r="E21" s="43" t="s">
        <v>82</v>
      </c>
    </row>
    <row r="22" spans="2:7" ht="15.75" thickBot="1" x14ac:dyDescent="0.3">
      <c r="E22" s="43" t="s">
        <v>65</v>
      </c>
    </row>
    <row r="23" spans="2:7" ht="15.75" thickBot="1" x14ac:dyDescent="0.3">
      <c r="E23" s="43" t="s">
        <v>85</v>
      </c>
      <c r="G23" s="92">
        <f>NPER(C20/12,G19+C21,-C18)</f>
        <v>29.712186547694799</v>
      </c>
    </row>
    <row r="25" spans="2:7" x14ac:dyDescent="0.25">
      <c r="E25" s="43" t="s">
        <v>66</v>
      </c>
    </row>
    <row r="26" spans="2:7" x14ac:dyDescent="0.25">
      <c r="E26" s="43" t="s">
        <v>67</v>
      </c>
    </row>
    <row r="27" spans="2:7" x14ac:dyDescent="0.25">
      <c r="E27" s="43" t="s">
        <v>68</v>
      </c>
    </row>
    <row r="28" spans="2:7" x14ac:dyDescent="0.25">
      <c r="E28" s="43" t="s">
        <v>69</v>
      </c>
    </row>
    <row r="29" spans="2:7" x14ac:dyDescent="0.25">
      <c r="E29" s="43" t="s">
        <v>70</v>
      </c>
    </row>
    <row r="30" spans="2:7" ht="15.75" thickBot="1" x14ac:dyDescent="0.3">
      <c r="E30" s="43" t="s">
        <v>71</v>
      </c>
    </row>
    <row r="31" spans="2:7" ht="15.75" thickBot="1" x14ac:dyDescent="0.3">
      <c r="E31" s="43" t="s">
        <v>72</v>
      </c>
      <c r="G31" s="5">
        <f>(G19*C19*12)-(G23*(G19+C21))</f>
        <v>4795.5300864093588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85"/>
  <sheetViews>
    <sheetView zoomScale="115" zoomScaleNormal="115" workbookViewId="0">
      <selection activeCell="G8" sqref="G8"/>
    </sheetView>
  </sheetViews>
  <sheetFormatPr defaultRowHeight="15" x14ac:dyDescent="0.25"/>
  <cols>
    <col min="1" max="1" width="4.42578125" customWidth="1"/>
    <col min="7" max="7" width="13.85546875" customWidth="1"/>
    <col min="8" max="8" width="14.5703125" customWidth="1"/>
    <col min="9" max="9" width="11.5703125" customWidth="1"/>
    <col min="10" max="10" width="13.5703125" bestFit="1" customWidth="1"/>
    <col min="13" max="13" width="11.7109375" customWidth="1"/>
    <col min="14" max="14" width="17" style="91" customWidth="1"/>
    <col min="15" max="15" width="14.42578125" customWidth="1"/>
    <col min="16" max="16" width="15.140625" customWidth="1"/>
    <col min="17" max="17" width="21.5703125" customWidth="1"/>
  </cols>
  <sheetData>
    <row r="2" spans="2:16" x14ac:dyDescent="0.25">
      <c r="B2" s="113" t="s">
        <v>106</v>
      </c>
      <c r="C2" s="52"/>
      <c r="D2" s="52"/>
      <c r="E2" s="52"/>
      <c r="F2" s="52"/>
      <c r="G2" s="52"/>
      <c r="H2" s="52"/>
      <c r="I2" s="52"/>
      <c r="J2" s="52"/>
      <c r="K2" s="52"/>
    </row>
    <row r="3" spans="2:16" x14ac:dyDescent="0.25">
      <c r="B3" s="113" t="s">
        <v>302</v>
      </c>
      <c r="C3" s="52"/>
      <c r="D3" s="52"/>
      <c r="E3" s="52"/>
      <c r="F3" s="52"/>
      <c r="G3" s="52"/>
      <c r="H3" s="52"/>
      <c r="I3" s="52"/>
      <c r="J3" s="52"/>
      <c r="K3" s="52"/>
    </row>
    <row r="4" spans="2:16" x14ac:dyDescent="0.25">
      <c r="B4" s="113" t="s">
        <v>277</v>
      </c>
      <c r="C4" s="52"/>
      <c r="D4" s="52"/>
      <c r="E4" s="52"/>
      <c r="F4" s="52"/>
      <c r="G4" s="52"/>
      <c r="H4" s="52"/>
      <c r="I4" s="52"/>
      <c r="J4" s="52"/>
      <c r="K4" s="52"/>
    </row>
    <row r="5" spans="2:16" ht="24" customHeight="1" x14ac:dyDescent="0.25">
      <c r="B5" s="113" t="s">
        <v>278</v>
      </c>
      <c r="C5" s="52"/>
      <c r="D5" s="52"/>
      <c r="E5" s="52"/>
      <c r="F5" s="52"/>
      <c r="G5" s="52"/>
      <c r="H5" s="52"/>
      <c r="I5" s="52"/>
      <c r="J5" s="52"/>
      <c r="K5" s="52"/>
    </row>
    <row r="6" spans="2:16" x14ac:dyDescent="0.25">
      <c r="B6" s="113" t="s">
        <v>284</v>
      </c>
      <c r="C6" s="52"/>
      <c r="D6" s="52"/>
      <c r="E6" s="52"/>
      <c r="F6" s="52"/>
      <c r="G6" s="52"/>
      <c r="H6" s="52"/>
      <c r="I6" s="52"/>
      <c r="J6" s="52"/>
      <c r="K6" s="52"/>
    </row>
    <row r="7" spans="2:16" x14ac:dyDescent="0.25">
      <c r="B7" s="113" t="s">
        <v>191</v>
      </c>
      <c r="C7" s="52"/>
      <c r="D7" s="52"/>
      <c r="E7" s="52"/>
      <c r="F7" s="52"/>
      <c r="G7" s="52"/>
      <c r="H7" s="52"/>
      <c r="I7" s="52"/>
      <c r="J7" s="52"/>
      <c r="K7" s="52"/>
    </row>
    <row r="8" spans="2:16" ht="9" customHeight="1" x14ac:dyDescent="0.25">
      <c r="B8" s="113"/>
      <c r="C8" s="52"/>
      <c r="D8" s="52"/>
      <c r="E8" s="52"/>
      <c r="F8" s="52"/>
      <c r="G8" s="52"/>
      <c r="H8" s="52"/>
      <c r="I8" s="52"/>
      <c r="J8" s="52"/>
      <c r="K8" s="52"/>
    </row>
    <row r="9" spans="2:16" x14ac:dyDescent="0.25">
      <c r="B9" s="113" t="s">
        <v>192</v>
      </c>
      <c r="C9" s="52"/>
      <c r="D9" s="52"/>
      <c r="E9" s="52"/>
      <c r="F9" s="52"/>
      <c r="G9" s="52"/>
      <c r="H9" s="52"/>
      <c r="I9" s="52"/>
      <c r="J9" s="52"/>
      <c r="K9" s="52"/>
    </row>
    <row r="10" spans="2:16" x14ac:dyDescent="0.25">
      <c r="B10" s="113" t="s">
        <v>193</v>
      </c>
      <c r="C10" s="52"/>
      <c r="D10" s="52"/>
      <c r="E10" s="52"/>
      <c r="F10" s="52"/>
      <c r="G10" s="52"/>
      <c r="H10" s="52"/>
      <c r="I10" s="52"/>
      <c r="J10" s="52"/>
      <c r="K10" s="52"/>
    </row>
    <row r="11" spans="2:16" x14ac:dyDescent="0.25">
      <c r="B11" s="113" t="s">
        <v>194</v>
      </c>
      <c r="C11" s="52"/>
      <c r="D11" s="52"/>
      <c r="E11" s="52"/>
      <c r="F11" s="52"/>
      <c r="G11" s="52"/>
      <c r="H11" s="52"/>
      <c r="I11" s="52"/>
      <c r="J11" s="52"/>
      <c r="K11" s="52"/>
      <c r="O11" s="89"/>
      <c r="P11" s="89"/>
    </row>
    <row r="12" spans="2:16" s="88" customFormat="1" ht="8.65" customHeight="1" x14ac:dyDescent="0.25">
      <c r="B12" s="113"/>
      <c r="N12" s="91"/>
      <c r="O12" s="89"/>
      <c r="P12" s="89"/>
    </row>
    <row r="13" spans="2:16" s="88" customFormat="1" x14ac:dyDescent="0.25">
      <c r="B13" s="113" t="s">
        <v>107</v>
      </c>
      <c r="N13" s="91"/>
      <c r="O13" s="89"/>
      <c r="P13" s="89"/>
    </row>
    <row r="14" spans="2:16" s="88" customFormat="1" x14ac:dyDescent="0.25">
      <c r="B14" s="113" t="s">
        <v>108</v>
      </c>
      <c r="N14" s="91"/>
      <c r="O14" s="89"/>
      <c r="P14" s="89"/>
    </row>
    <row r="15" spans="2:16" s="88" customFormat="1" ht="15.75" thickBot="1" x14ac:dyDescent="0.3">
      <c r="N15" s="91"/>
      <c r="O15" s="89"/>
      <c r="P15" s="89"/>
    </row>
    <row r="16" spans="2:16" ht="15.75" thickBot="1" x14ac:dyDescent="0.3">
      <c r="B16" s="52"/>
      <c r="C16" s="52" t="s">
        <v>109</v>
      </c>
      <c r="D16" s="52"/>
      <c r="E16" s="52"/>
      <c r="F16" s="52"/>
      <c r="G16" s="52"/>
      <c r="H16" s="56">
        <v>4.3499999999999997E-2</v>
      </c>
      <c r="I16" s="52"/>
      <c r="J16" s="52"/>
      <c r="K16" s="52"/>
      <c r="O16" s="89" t="s">
        <v>185</v>
      </c>
      <c r="P16" s="89" t="s">
        <v>187</v>
      </c>
    </row>
    <row r="17" spans="2:16" ht="15.75" thickBot="1" x14ac:dyDescent="0.3">
      <c r="B17" s="54"/>
      <c r="C17" s="54"/>
      <c r="D17" s="54"/>
      <c r="E17" s="54"/>
      <c r="F17" s="54"/>
      <c r="G17" s="54"/>
      <c r="H17" s="54"/>
      <c r="I17" s="54"/>
      <c r="J17" s="54"/>
      <c r="K17" s="54"/>
      <c r="L17" s="106" t="s">
        <v>211</v>
      </c>
      <c r="M17" s="89" t="s">
        <v>188</v>
      </c>
      <c r="N17" s="89" t="s">
        <v>189</v>
      </c>
      <c r="O17" s="89" t="s">
        <v>186</v>
      </c>
      <c r="P17" s="89" t="s">
        <v>14</v>
      </c>
    </row>
    <row r="18" spans="2:16" ht="15.75" thickBot="1" x14ac:dyDescent="0.3">
      <c r="B18" s="142" t="s">
        <v>110</v>
      </c>
      <c r="C18" s="142"/>
      <c r="D18" s="142"/>
      <c r="E18" s="142"/>
      <c r="F18" s="142"/>
      <c r="G18" s="142"/>
      <c r="H18" s="142"/>
      <c r="I18" s="142"/>
      <c r="J18" s="142"/>
      <c r="K18" s="142"/>
      <c r="L18">
        <v>0</v>
      </c>
      <c r="M18" s="90">
        <v>43466</v>
      </c>
      <c r="N18" s="91" t="s">
        <v>140</v>
      </c>
      <c r="O18" s="53">
        <v>5000</v>
      </c>
      <c r="P18" s="53">
        <f>O18</f>
        <v>5000</v>
      </c>
    </row>
    <row r="19" spans="2:16" x14ac:dyDescent="0.25">
      <c r="L19">
        <v>1</v>
      </c>
      <c r="M19" s="90">
        <v>43831</v>
      </c>
      <c r="N19" s="91" t="s">
        <v>141</v>
      </c>
      <c r="O19" s="53">
        <f>H23</f>
        <v>57636.311794114132</v>
      </c>
      <c r="P19" s="53">
        <f>O19+(P18*(1+$H$16))</f>
        <v>62853.811794114132</v>
      </c>
    </row>
    <row r="20" spans="2:16" x14ac:dyDescent="0.25">
      <c r="C20" s="55" t="s">
        <v>111</v>
      </c>
      <c r="D20" t="s">
        <v>285</v>
      </c>
      <c r="H20" s="53">
        <f>-PV(H16,25,225000,0)</f>
        <v>3388466.8813455142</v>
      </c>
      <c r="J20" s="100"/>
      <c r="L20">
        <v>2</v>
      </c>
      <c r="M20" s="90">
        <v>44197</v>
      </c>
      <c r="N20" s="91" t="s">
        <v>142</v>
      </c>
      <c r="O20" s="53">
        <f t="shared" ref="O20:O47" si="0">O19</f>
        <v>57636.311794114132</v>
      </c>
      <c r="P20" s="100">
        <f t="shared" ref="P20:P73" si="1">O20+(P19*(1+$H$16))</f>
        <v>123224.26440127223</v>
      </c>
    </row>
    <row r="21" spans="2:16" x14ac:dyDescent="0.25">
      <c r="C21" s="55" t="s">
        <v>112</v>
      </c>
      <c r="D21" t="s">
        <v>286</v>
      </c>
      <c r="H21" s="53">
        <f>-PV(H16,30,0,H20)</f>
        <v>944560.20217051636</v>
      </c>
      <c r="L21" s="104">
        <v>3</v>
      </c>
      <c r="M21" s="90">
        <v>44562</v>
      </c>
      <c r="N21" s="91" t="s">
        <v>143</v>
      </c>
      <c r="O21" s="53">
        <f t="shared" si="0"/>
        <v>57636.311794114132</v>
      </c>
      <c r="P21" s="100">
        <f t="shared" si="1"/>
        <v>186220.83169684172</v>
      </c>
    </row>
    <row r="22" spans="2:16" x14ac:dyDescent="0.25">
      <c r="C22" t="s">
        <v>113</v>
      </c>
      <c r="D22" t="s">
        <v>195</v>
      </c>
      <c r="H22" s="93">
        <f>H21-5000</f>
        <v>939560.20217051636</v>
      </c>
      <c r="L22" s="104">
        <v>4</v>
      </c>
      <c r="M22" s="90">
        <v>44927</v>
      </c>
      <c r="N22" s="91" t="s">
        <v>144</v>
      </c>
      <c r="O22" s="53">
        <f t="shared" si="0"/>
        <v>57636.311794114132</v>
      </c>
      <c r="P22" s="100">
        <f t="shared" si="1"/>
        <v>251957.74966976847</v>
      </c>
    </row>
    <row r="23" spans="2:16" x14ac:dyDescent="0.25">
      <c r="C23" s="95" t="s">
        <v>258</v>
      </c>
      <c r="D23" t="s">
        <v>287</v>
      </c>
      <c r="H23" s="53">
        <f>PMT(H16,29,-H22,0)</f>
        <v>57636.311794114132</v>
      </c>
      <c r="I23" s="55" t="s">
        <v>114</v>
      </c>
      <c r="L23" s="104">
        <v>5</v>
      </c>
      <c r="M23" s="90">
        <v>45292</v>
      </c>
      <c r="N23" s="91" t="s">
        <v>145</v>
      </c>
      <c r="O23" s="53">
        <f t="shared" si="0"/>
        <v>57636.311794114132</v>
      </c>
      <c r="P23" s="100">
        <f t="shared" si="1"/>
        <v>320554.22357451753</v>
      </c>
    </row>
    <row r="24" spans="2:16" x14ac:dyDescent="0.25">
      <c r="D24" t="s">
        <v>196</v>
      </c>
      <c r="L24" s="104">
        <v>6</v>
      </c>
      <c r="M24" s="90">
        <v>45658</v>
      </c>
      <c r="N24" s="91" t="s">
        <v>146</v>
      </c>
      <c r="O24" s="53">
        <f t="shared" si="0"/>
        <v>57636.311794114132</v>
      </c>
      <c r="P24" s="100">
        <f t="shared" si="1"/>
        <v>392134.64409412321</v>
      </c>
    </row>
    <row r="25" spans="2:16" ht="18.75" x14ac:dyDescent="0.3">
      <c r="C25" s="113"/>
      <c r="D25" s="143" t="s">
        <v>257</v>
      </c>
      <c r="E25" s="143"/>
      <c r="F25" s="143"/>
      <c r="G25" s="143"/>
      <c r="H25" s="143"/>
      <c r="I25" s="113"/>
      <c r="L25" s="104">
        <v>7</v>
      </c>
      <c r="M25" s="90">
        <v>46023</v>
      </c>
      <c r="N25" s="91" t="s">
        <v>147</v>
      </c>
      <c r="O25" s="53">
        <f t="shared" si="0"/>
        <v>57636.311794114132</v>
      </c>
      <c r="P25" s="100">
        <f t="shared" si="1"/>
        <v>466828.81290633173</v>
      </c>
    </row>
    <row r="26" spans="2:16" x14ac:dyDescent="0.25">
      <c r="C26" s="95" t="s">
        <v>111</v>
      </c>
      <c r="D26" s="113" t="s">
        <v>288</v>
      </c>
      <c r="E26" s="113"/>
      <c r="F26" s="113"/>
      <c r="G26" s="113"/>
      <c r="H26" s="100">
        <f>-PV(H16,25,225000,0,1)</f>
        <v>3535865.1906840447</v>
      </c>
      <c r="I26" s="113"/>
      <c r="L26" s="104">
        <v>8</v>
      </c>
      <c r="M26" s="90">
        <v>46388</v>
      </c>
      <c r="N26" s="91" t="s">
        <v>148</v>
      </c>
      <c r="O26" s="53">
        <f t="shared" si="0"/>
        <v>57636.311794114132</v>
      </c>
      <c r="P26" s="100">
        <f t="shared" si="1"/>
        <v>544772.17806187132</v>
      </c>
    </row>
    <row r="27" spans="2:16" x14ac:dyDescent="0.25">
      <c r="C27" s="95" t="s">
        <v>112</v>
      </c>
      <c r="D27" s="113" t="s">
        <v>286</v>
      </c>
      <c r="E27" s="113"/>
      <c r="F27" s="113"/>
      <c r="G27" s="113"/>
      <c r="H27" s="100">
        <f>-PV(H16,31,0,H26)</f>
        <v>944560.20217051636</v>
      </c>
      <c r="I27" s="113"/>
      <c r="L27" s="104">
        <v>9</v>
      </c>
      <c r="M27" s="90">
        <v>46753</v>
      </c>
      <c r="N27" s="91" t="s">
        <v>149</v>
      </c>
      <c r="O27" s="53">
        <f t="shared" si="0"/>
        <v>57636.311794114132</v>
      </c>
      <c r="P27" s="100">
        <f t="shared" si="1"/>
        <v>626106.07960167702</v>
      </c>
    </row>
    <row r="28" spans="2:16" x14ac:dyDescent="0.25">
      <c r="C28" s="113" t="s">
        <v>113</v>
      </c>
      <c r="D28" s="113" t="s">
        <v>195</v>
      </c>
      <c r="E28" s="113"/>
      <c r="F28" s="113"/>
      <c r="G28" s="113"/>
      <c r="H28" s="100">
        <f>H27-5000</f>
        <v>939560.20217051636</v>
      </c>
      <c r="I28" s="113"/>
      <c r="L28" s="104">
        <v>10</v>
      </c>
      <c r="M28" s="90">
        <v>47119</v>
      </c>
      <c r="N28" s="91" t="s">
        <v>150</v>
      </c>
      <c r="O28" s="53">
        <f t="shared" si="0"/>
        <v>57636.311794114132</v>
      </c>
      <c r="P28" s="100">
        <f t="shared" si="1"/>
        <v>710978.00585846417</v>
      </c>
    </row>
    <row r="29" spans="2:16" x14ac:dyDescent="0.25">
      <c r="C29" s="95" t="s">
        <v>258</v>
      </c>
      <c r="D29" s="113" t="s">
        <v>287</v>
      </c>
      <c r="E29" s="113"/>
      <c r="F29" s="113"/>
      <c r="G29" s="113"/>
      <c r="H29" s="100">
        <f>PMT(H16,29,-H28,0)</f>
        <v>57636.311794114132</v>
      </c>
      <c r="I29" s="95" t="s">
        <v>114</v>
      </c>
      <c r="L29" s="104">
        <v>11</v>
      </c>
      <c r="M29" s="90">
        <v>47484</v>
      </c>
      <c r="N29" s="91" t="s">
        <v>151</v>
      </c>
      <c r="O29" s="53">
        <f t="shared" si="0"/>
        <v>57636.311794114132</v>
      </c>
      <c r="P29" s="100">
        <f t="shared" si="1"/>
        <v>799541.86090742156</v>
      </c>
    </row>
    <row r="30" spans="2:16" x14ac:dyDescent="0.25">
      <c r="D30" s="113" t="s">
        <v>196</v>
      </c>
      <c r="I30" s="113"/>
      <c r="L30" s="104">
        <v>12</v>
      </c>
      <c r="M30" s="90">
        <v>47849</v>
      </c>
      <c r="N30" s="91" t="s">
        <v>152</v>
      </c>
      <c r="O30" s="53">
        <f t="shared" si="0"/>
        <v>57636.311794114132</v>
      </c>
      <c r="P30" s="100">
        <f t="shared" si="1"/>
        <v>891958.2436510087</v>
      </c>
    </row>
    <row r="31" spans="2:16" x14ac:dyDescent="0.25">
      <c r="C31" s="113"/>
      <c r="D31" s="113"/>
      <c r="E31" s="113"/>
      <c r="F31" s="113"/>
      <c r="G31" s="113"/>
      <c r="H31" s="113"/>
      <c r="I31" s="113"/>
      <c r="L31" s="104">
        <v>13</v>
      </c>
      <c r="M31" s="90">
        <v>48214</v>
      </c>
      <c r="N31" s="91" t="s">
        <v>153</v>
      </c>
      <c r="O31" s="53">
        <f t="shared" si="0"/>
        <v>57636.311794114132</v>
      </c>
      <c r="P31" s="100">
        <f t="shared" si="1"/>
        <v>988394.73904394184</v>
      </c>
    </row>
    <row r="32" spans="2:16" x14ac:dyDescent="0.25">
      <c r="L32" s="104">
        <v>14</v>
      </c>
      <c r="M32" s="90">
        <v>48580</v>
      </c>
      <c r="N32" s="91" t="s">
        <v>154</v>
      </c>
      <c r="O32" s="53">
        <f t="shared" si="0"/>
        <v>57636.311794114132</v>
      </c>
      <c r="P32" s="100">
        <f t="shared" si="1"/>
        <v>1089026.2219864675</v>
      </c>
    </row>
    <row r="33" spans="12:16" x14ac:dyDescent="0.25">
      <c r="L33" s="104">
        <v>15</v>
      </c>
      <c r="M33" s="90">
        <v>48945</v>
      </c>
      <c r="N33" s="91" t="s">
        <v>155</v>
      </c>
      <c r="O33" s="53">
        <f t="shared" si="0"/>
        <v>57636.311794114132</v>
      </c>
      <c r="P33" s="100">
        <f t="shared" si="1"/>
        <v>1194035.174436993</v>
      </c>
    </row>
    <row r="34" spans="12:16" x14ac:dyDescent="0.25">
      <c r="L34" s="104">
        <v>16</v>
      </c>
      <c r="M34" s="90">
        <v>49310</v>
      </c>
      <c r="N34" s="91" t="s">
        <v>156</v>
      </c>
      <c r="O34" s="53">
        <f t="shared" si="0"/>
        <v>57636.311794114132</v>
      </c>
      <c r="P34" s="100">
        <f t="shared" si="1"/>
        <v>1303612.0163191163</v>
      </c>
    </row>
    <row r="35" spans="12:16" x14ac:dyDescent="0.25">
      <c r="L35" s="104">
        <v>17</v>
      </c>
      <c r="M35" s="90">
        <v>49675</v>
      </c>
      <c r="N35" s="91" t="s">
        <v>157</v>
      </c>
      <c r="O35" s="53">
        <f t="shared" si="0"/>
        <v>57636.311794114132</v>
      </c>
      <c r="P35" s="100">
        <f t="shared" si="1"/>
        <v>1417955.4508231122</v>
      </c>
    </row>
    <row r="36" spans="12:16" x14ac:dyDescent="0.25">
      <c r="L36" s="104">
        <v>18</v>
      </c>
      <c r="M36" s="90">
        <v>50041</v>
      </c>
      <c r="N36" s="91" t="s">
        <v>158</v>
      </c>
      <c r="O36" s="53">
        <f t="shared" si="0"/>
        <v>57636.311794114132</v>
      </c>
      <c r="P36" s="100">
        <f t="shared" si="1"/>
        <v>1537272.8247280316</v>
      </c>
    </row>
    <row r="37" spans="12:16" x14ac:dyDescent="0.25">
      <c r="L37" s="104">
        <v>19</v>
      </c>
      <c r="M37" s="90">
        <v>50406</v>
      </c>
      <c r="N37" s="91" t="s">
        <v>159</v>
      </c>
      <c r="O37" s="53">
        <f t="shared" si="0"/>
        <v>57636.311794114132</v>
      </c>
      <c r="P37" s="100">
        <f t="shared" si="1"/>
        <v>1661780.5043978153</v>
      </c>
    </row>
    <row r="38" spans="12:16" x14ac:dyDescent="0.25">
      <c r="L38" s="104">
        <v>20</v>
      </c>
      <c r="M38" s="90">
        <v>50771</v>
      </c>
      <c r="N38" s="91" t="s">
        <v>160</v>
      </c>
      <c r="O38" s="53">
        <f t="shared" si="0"/>
        <v>57636.311794114132</v>
      </c>
      <c r="P38" s="100">
        <f t="shared" si="1"/>
        <v>1791704.2681332345</v>
      </c>
    </row>
    <row r="39" spans="12:16" x14ac:dyDescent="0.25">
      <c r="L39" s="104">
        <v>21</v>
      </c>
      <c r="M39" s="90">
        <v>51136</v>
      </c>
      <c r="N39" s="91" t="s">
        <v>161</v>
      </c>
      <c r="O39" s="53">
        <f t="shared" si="0"/>
        <v>57636.311794114132</v>
      </c>
      <c r="P39" s="100">
        <f t="shared" si="1"/>
        <v>1927279.7155911445</v>
      </c>
    </row>
    <row r="40" spans="12:16" x14ac:dyDescent="0.25">
      <c r="L40" s="104">
        <v>22</v>
      </c>
      <c r="M40" s="90">
        <v>51502</v>
      </c>
      <c r="N40" s="91" t="s">
        <v>162</v>
      </c>
      <c r="O40" s="53">
        <f t="shared" si="0"/>
        <v>57636.311794114132</v>
      </c>
      <c r="P40" s="100">
        <f t="shared" si="1"/>
        <v>2068752.6950134735</v>
      </c>
    </row>
    <row r="41" spans="12:16" x14ac:dyDescent="0.25">
      <c r="L41" s="104">
        <v>23</v>
      </c>
      <c r="M41" s="90">
        <v>51867</v>
      </c>
      <c r="N41" s="91" t="s">
        <v>163</v>
      </c>
      <c r="O41" s="53">
        <f t="shared" si="0"/>
        <v>57636.311794114132</v>
      </c>
      <c r="P41" s="100">
        <f t="shared" si="1"/>
        <v>2216379.749040674</v>
      </c>
    </row>
    <row r="42" spans="12:16" x14ac:dyDescent="0.25">
      <c r="L42" s="104">
        <v>24</v>
      </c>
      <c r="M42" s="90">
        <v>52232</v>
      </c>
      <c r="N42" s="91" t="s">
        <v>164</v>
      </c>
      <c r="O42" s="53">
        <f t="shared" si="0"/>
        <v>57636.311794114132</v>
      </c>
      <c r="P42" s="100">
        <f t="shared" si="1"/>
        <v>2370428.5799180577</v>
      </c>
    </row>
    <row r="43" spans="12:16" x14ac:dyDescent="0.25">
      <c r="L43" s="104">
        <v>25</v>
      </c>
      <c r="M43" s="90">
        <v>52597</v>
      </c>
      <c r="N43" s="91" t="s">
        <v>279</v>
      </c>
      <c r="O43" s="100">
        <f t="shared" si="0"/>
        <v>57636.311794114132</v>
      </c>
      <c r="P43" s="100">
        <f t="shared" si="1"/>
        <v>2531178.5349386078</v>
      </c>
    </row>
    <row r="44" spans="12:16" x14ac:dyDescent="0.25">
      <c r="L44" s="104">
        <v>26</v>
      </c>
      <c r="M44" s="90">
        <v>52963</v>
      </c>
      <c r="N44" s="91" t="s">
        <v>280</v>
      </c>
      <c r="O44" s="100">
        <f t="shared" si="0"/>
        <v>57636.311794114132</v>
      </c>
      <c r="P44" s="100">
        <f t="shared" si="1"/>
        <v>2698921.1130025517</v>
      </c>
    </row>
    <row r="45" spans="12:16" x14ac:dyDescent="0.25">
      <c r="L45" s="104">
        <v>27</v>
      </c>
      <c r="M45" s="90">
        <v>53328</v>
      </c>
      <c r="N45" s="91" t="s">
        <v>281</v>
      </c>
      <c r="O45" s="100">
        <f t="shared" si="0"/>
        <v>57636.311794114132</v>
      </c>
      <c r="P45" s="100">
        <f t="shared" si="1"/>
        <v>2873960.4932122771</v>
      </c>
    </row>
    <row r="46" spans="12:16" x14ac:dyDescent="0.25">
      <c r="L46" s="104">
        <v>28</v>
      </c>
      <c r="M46" s="90">
        <v>53693</v>
      </c>
      <c r="N46" s="91" t="s">
        <v>282</v>
      </c>
      <c r="O46" s="100">
        <f t="shared" si="0"/>
        <v>57636.311794114132</v>
      </c>
      <c r="P46" s="100">
        <f t="shared" si="1"/>
        <v>3056614.0864611259</v>
      </c>
    </row>
    <row r="47" spans="12:16" x14ac:dyDescent="0.25">
      <c r="L47" s="104">
        <v>29</v>
      </c>
      <c r="M47" s="90">
        <v>54058</v>
      </c>
      <c r="N47" s="91" t="s">
        <v>283</v>
      </c>
      <c r="O47" s="100">
        <f t="shared" si="0"/>
        <v>57636.311794114132</v>
      </c>
      <c r="P47" s="100">
        <f t="shared" si="1"/>
        <v>3247213.1110162996</v>
      </c>
    </row>
    <row r="48" spans="12:16" x14ac:dyDescent="0.25">
      <c r="L48" s="133">
        <v>30</v>
      </c>
      <c r="M48" s="90">
        <v>54424</v>
      </c>
      <c r="N48" s="91" t="s">
        <v>190</v>
      </c>
      <c r="O48" s="113">
        <v>0</v>
      </c>
      <c r="P48" s="100">
        <f t="shared" si="1"/>
        <v>3388466.8813455091</v>
      </c>
    </row>
    <row r="49" spans="8:16" x14ac:dyDescent="0.25">
      <c r="L49" s="104">
        <v>31</v>
      </c>
      <c r="M49" s="90">
        <v>54789</v>
      </c>
      <c r="N49" s="91" t="s">
        <v>165</v>
      </c>
      <c r="O49" s="113">
        <v>-225000</v>
      </c>
      <c r="P49" s="100">
        <f t="shared" si="1"/>
        <v>3310865.1906840391</v>
      </c>
    </row>
    <row r="50" spans="8:16" x14ac:dyDescent="0.25">
      <c r="L50" s="104">
        <v>32</v>
      </c>
      <c r="M50" s="90">
        <v>55154</v>
      </c>
      <c r="N50" s="91" t="s">
        <v>166</v>
      </c>
      <c r="O50" s="113">
        <v>-225000</v>
      </c>
      <c r="P50" s="100">
        <f t="shared" si="1"/>
        <v>3229887.8264787951</v>
      </c>
    </row>
    <row r="51" spans="8:16" x14ac:dyDescent="0.25">
      <c r="L51" s="133">
        <v>33</v>
      </c>
      <c r="M51" s="90">
        <v>55519</v>
      </c>
      <c r="N51" s="91" t="s">
        <v>167</v>
      </c>
      <c r="O51" s="113">
        <v>-225000</v>
      </c>
      <c r="P51" s="100">
        <f t="shared" si="1"/>
        <v>3145387.9469306231</v>
      </c>
    </row>
    <row r="52" spans="8:16" x14ac:dyDescent="0.25">
      <c r="L52" s="104">
        <v>34</v>
      </c>
      <c r="M52" s="90">
        <v>55885</v>
      </c>
      <c r="N52" s="91" t="s">
        <v>168</v>
      </c>
      <c r="O52" s="113">
        <v>-225000</v>
      </c>
      <c r="P52" s="100">
        <f t="shared" si="1"/>
        <v>3057212.3226221055</v>
      </c>
    </row>
    <row r="53" spans="8:16" x14ac:dyDescent="0.25">
      <c r="L53" s="104">
        <v>35</v>
      </c>
      <c r="M53" s="90">
        <v>56250</v>
      </c>
      <c r="N53" s="91" t="s">
        <v>169</v>
      </c>
      <c r="O53" s="113">
        <v>-225000</v>
      </c>
      <c r="P53" s="100">
        <f t="shared" si="1"/>
        <v>2965201.0586561672</v>
      </c>
    </row>
    <row r="54" spans="8:16" x14ac:dyDescent="0.25">
      <c r="L54" s="104">
        <v>36</v>
      </c>
      <c r="M54" s="90">
        <v>56615</v>
      </c>
      <c r="N54" s="91" t="s">
        <v>170</v>
      </c>
      <c r="O54" s="113">
        <v>-225000</v>
      </c>
      <c r="P54" s="100">
        <f t="shared" si="1"/>
        <v>2869187.3047077106</v>
      </c>
    </row>
    <row r="55" spans="8:16" x14ac:dyDescent="0.25">
      <c r="H55" s="100"/>
      <c r="L55" s="113">
        <v>37</v>
      </c>
      <c r="M55" s="90">
        <v>56980</v>
      </c>
      <c r="N55" s="91" t="s">
        <v>171</v>
      </c>
      <c r="O55" s="113">
        <v>-225000</v>
      </c>
      <c r="P55" s="100">
        <f t="shared" si="1"/>
        <v>2768996.9524624962</v>
      </c>
    </row>
    <row r="56" spans="8:16" x14ac:dyDescent="0.25">
      <c r="L56" s="113">
        <v>38</v>
      </c>
      <c r="M56" s="90">
        <v>57346</v>
      </c>
      <c r="N56" s="91" t="s">
        <v>172</v>
      </c>
      <c r="O56" s="113">
        <v>-225000</v>
      </c>
      <c r="P56" s="100">
        <f t="shared" si="1"/>
        <v>2664448.3198946151</v>
      </c>
    </row>
    <row r="57" spans="8:16" x14ac:dyDescent="0.25">
      <c r="L57" s="113">
        <v>39</v>
      </c>
      <c r="M57" s="90">
        <v>57711</v>
      </c>
      <c r="N57" s="91" t="s">
        <v>173</v>
      </c>
      <c r="O57" s="113">
        <v>-225000</v>
      </c>
      <c r="P57" s="100">
        <f t="shared" si="1"/>
        <v>2555351.8218100313</v>
      </c>
    </row>
    <row r="58" spans="8:16" x14ac:dyDescent="0.25">
      <c r="L58" s="113">
        <v>40</v>
      </c>
      <c r="M58" s="90">
        <v>58076</v>
      </c>
      <c r="N58" s="91" t="s">
        <v>174</v>
      </c>
      <c r="O58" s="113">
        <v>-225000</v>
      </c>
      <c r="P58" s="100">
        <f t="shared" si="1"/>
        <v>2441509.626058768</v>
      </c>
    </row>
    <row r="59" spans="8:16" x14ac:dyDescent="0.25">
      <c r="L59" s="113">
        <v>41</v>
      </c>
      <c r="M59" s="90">
        <v>58441</v>
      </c>
      <c r="N59" s="91" t="s">
        <v>175</v>
      </c>
      <c r="O59" s="113">
        <v>-225000</v>
      </c>
      <c r="P59" s="100">
        <f t="shared" si="1"/>
        <v>2322715.2947923248</v>
      </c>
    </row>
    <row r="60" spans="8:16" x14ac:dyDescent="0.25">
      <c r="L60" s="113">
        <v>42</v>
      </c>
      <c r="M60" s="90">
        <v>58807</v>
      </c>
      <c r="N60" s="91" t="s">
        <v>176</v>
      </c>
      <c r="O60" s="113">
        <v>-225000</v>
      </c>
      <c r="P60" s="100">
        <f t="shared" si="1"/>
        <v>2198753.410115791</v>
      </c>
    </row>
    <row r="61" spans="8:16" x14ac:dyDescent="0.25">
      <c r="L61" s="113">
        <v>43</v>
      </c>
      <c r="M61" s="90">
        <v>59172</v>
      </c>
      <c r="N61" s="91" t="s">
        <v>177</v>
      </c>
      <c r="O61" s="113">
        <v>-225000</v>
      </c>
      <c r="P61" s="100">
        <f t="shared" si="1"/>
        <v>2069399.1834558281</v>
      </c>
    </row>
    <row r="62" spans="8:16" x14ac:dyDescent="0.25">
      <c r="L62" s="113">
        <v>44</v>
      </c>
      <c r="M62" s="90">
        <v>59537</v>
      </c>
      <c r="N62" s="91" t="s">
        <v>178</v>
      </c>
      <c r="O62" s="113">
        <v>-225000</v>
      </c>
      <c r="P62" s="100">
        <f t="shared" si="1"/>
        <v>1934418.0479361569</v>
      </c>
    </row>
    <row r="63" spans="8:16" x14ac:dyDescent="0.25">
      <c r="L63" s="113">
        <v>45</v>
      </c>
      <c r="M63" s="90">
        <v>59902</v>
      </c>
      <c r="N63" s="91" t="s">
        <v>179</v>
      </c>
      <c r="O63" s="113">
        <v>-225000</v>
      </c>
      <c r="P63" s="100">
        <f t="shared" si="1"/>
        <v>1793565.2330213799</v>
      </c>
    </row>
    <row r="64" spans="8:16" x14ac:dyDescent="0.25">
      <c r="L64" s="113">
        <v>46</v>
      </c>
      <c r="M64" s="90">
        <v>60268</v>
      </c>
      <c r="N64" s="91" t="s">
        <v>180</v>
      </c>
      <c r="O64" s="113">
        <v>-225000</v>
      </c>
      <c r="P64" s="100">
        <f t="shared" si="1"/>
        <v>1646585.3206578102</v>
      </c>
    </row>
    <row r="65" spans="12:16" x14ac:dyDescent="0.25">
      <c r="L65" s="113">
        <v>47</v>
      </c>
      <c r="M65" s="90">
        <v>60633</v>
      </c>
      <c r="N65" s="91" t="s">
        <v>181</v>
      </c>
      <c r="O65" s="113">
        <v>-225000</v>
      </c>
      <c r="P65" s="100">
        <f t="shared" si="1"/>
        <v>1493211.7821064251</v>
      </c>
    </row>
    <row r="66" spans="12:16" x14ac:dyDescent="0.25">
      <c r="L66" s="113">
        <v>48</v>
      </c>
      <c r="M66" s="90">
        <v>60998</v>
      </c>
      <c r="N66" s="91" t="s">
        <v>182</v>
      </c>
      <c r="O66" s="113">
        <v>-225000</v>
      </c>
      <c r="P66" s="100">
        <f t="shared" si="1"/>
        <v>1333166.4946280548</v>
      </c>
    </row>
    <row r="67" spans="12:16" x14ac:dyDescent="0.25">
      <c r="L67" s="113">
        <v>49</v>
      </c>
      <c r="M67" s="90">
        <v>61363</v>
      </c>
      <c r="N67" s="91" t="s">
        <v>183</v>
      </c>
      <c r="O67" s="113">
        <v>-225000</v>
      </c>
      <c r="P67" s="100">
        <f t="shared" si="1"/>
        <v>1166159.2371443752</v>
      </c>
    </row>
    <row r="68" spans="12:16" x14ac:dyDescent="0.25">
      <c r="L68" s="113">
        <v>50</v>
      </c>
      <c r="M68" s="90">
        <v>61729</v>
      </c>
      <c r="N68" s="91" t="s">
        <v>184</v>
      </c>
      <c r="O68" s="113">
        <v>-225000</v>
      </c>
      <c r="P68" s="100">
        <f t="shared" si="1"/>
        <v>991887.16396015557</v>
      </c>
    </row>
    <row r="69" spans="12:16" x14ac:dyDescent="0.25">
      <c r="L69" s="113">
        <v>51</v>
      </c>
      <c r="M69" s="90">
        <v>62094</v>
      </c>
      <c r="N69" s="91" t="s">
        <v>197</v>
      </c>
      <c r="O69" s="113">
        <v>-225000</v>
      </c>
      <c r="P69" s="100">
        <f t="shared" si="1"/>
        <v>810034.25559242244</v>
      </c>
    </row>
    <row r="70" spans="12:16" x14ac:dyDescent="0.25">
      <c r="L70" s="113">
        <v>52</v>
      </c>
      <c r="M70" s="90">
        <v>62459</v>
      </c>
      <c r="N70" s="91" t="s">
        <v>198</v>
      </c>
      <c r="O70" s="113">
        <v>-225000</v>
      </c>
      <c r="P70" s="100">
        <f t="shared" si="1"/>
        <v>620270.74571069295</v>
      </c>
    </row>
    <row r="71" spans="12:16" x14ac:dyDescent="0.25">
      <c r="L71" s="113">
        <v>53</v>
      </c>
      <c r="M71" s="90">
        <v>62824</v>
      </c>
      <c r="N71" s="91" t="s">
        <v>199</v>
      </c>
      <c r="O71" s="113">
        <v>-225000</v>
      </c>
      <c r="P71" s="100">
        <f t="shared" si="1"/>
        <v>422252.52314910816</v>
      </c>
    </row>
    <row r="72" spans="12:16" x14ac:dyDescent="0.25">
      <c r="L72" s="113">
        <v>54</v>
      </c>
      <c r="M72" s="90">
        <v>63190</v>
      </c>
      <c r="N72" s="91" t="s">
        <v>200</v>
      </c>
      <c r="O72" s="113">
        <v>-225000</v>
      </c>
      <c r="P72" s="100">
        <f t="shared" si="1"/>
        <v>215620.50790609443</v>
      </c>
    </row>
    <row r="73" spans="12:16" x14ac:dyDescent="0.25">
      <c r="L73" s="113">
        <v>55</v>
      </c>
      <c r="M73" s="90">
        <v>63555</v>
      </c>
      <c r="N73" s="91" t="s">
        <v>201</v>
      </c>
      <c r="O73" s="113">
        <v>-225000</v>
      </c>
      <c r="P73" s="100">
        <f t="shared" si="1"/>
        <v>9.5460563898086548E-9</v>
      </c>
    </row>
    <row r="74" spans="12:16" x14ac:dyDescent="0.25">
      <c r="L74" s="113"/>
      <c r="M74" s="90"/>
      <c r="O74" s="113"/>
      <c r="P74" s="100"/>
    </row>
    <row r="75" spans="12:16" x14ac:dyDescent="0.25">
      <c r="L75" s="113"/>
      <c r="M75" s="90"/>
      <c r="O75" s="113"/>
      <c r="P75" s="100"/>
    </row>
    <row r="76" spans="12:16" x14ac:dyDescent="0.25">
      <c r="L76" s="113"/>
      <c r="M76" s="90"/>
      <c r="O76" s="113"/>
      <c r="P76" s="100"/>
    </row>
    <row r="77" spans="12:16" x14ac:dyDescent="0.25">
      <c r="L77" s="113"/>
      <c r="M77" s="90"/>
      <c r="O77" s="113"/>
      <c r="P77" s="100"/>
    </row>
    <row r="78" spans="12:16" x14ac:dyDescent="0.25">
      <c r="L78" s="113"/>
      <c r="M78" s="90"/>
      <c r="O78" s="113"/>
      <c r="P78" s="100"/>
    </row>
    <row r="79" spans="12:16" x14ac:dyDescent="0.25">
      <c r="L79" s="113"/>
      <c r="M79" s="90"/>
      <c r="O79" s="113"/>
      <c r="P79" s="100"/>
    </row>
    <row r="80" spans="12:16" x14ac:dyDescent="0.25">
      <c r="L80" s="113"/>
      <c r="M80" s="90"/>
      <c r="O80" s="113"/>
      <c r="P80" s="100"/>
    </row>
    <row r="81" spans="13:16" x14ac:dyDescent="0.25">
      <c r="M81" s="90"/>
      <c r="O81" s="100"/>
      <c r="P81" s="100"/>
    </row>
    <row r="82" spans="13:16" x14ac:dyDescent="0.25">
      <c r="M82" s="90"/>
      <c r="O82" s="100"/>
      <c r="P82" s="100"/>
    </row>
    <row r="83" spans="13:16" x14ac:dyDescent="0.25">
      <c r="M83" s="90"/>
      <c r="O83" s="100"/>
      <c r="P83" s="100"/>
    </row>
    <row r="84" spans="13:16" x14ac:dyDescent="0.25">
      <c r="M84" s="90"/>
      <c r="O84" s="100"/>
      <c r="P84" s="100"/>
    </row>
    <row r="85" spans="13:16" x14ac:dyDescent="0.25">
      <c r="M85" s="90"/>
      <c r="O85" s="100"/>
      <c r="P85" s="100"/>
    </row>
  </sheetData>
  <mergeCells count="2">
    <mergeCell ref="B18:K18"/>
    <mergeCell ref="D25:H25"/>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30"/>
  <sheetViews>
    <sheetView zoomScale="145" zoomScaleNormal="145" workbookViewId="0">
      <selection activeCell="E19" sqref="E19"/>
    </sheetView>
  </sheetViews>
  <sheetFormatPr defaultColWidth="9.140625" defaultRowHeight="15" x14ac:dyDescent="0.25"/>
  <cols>
    <col min="1" max="1" width="4.28515625" style="113" customWidth="1"/>
    <col min="2" max="5" width="9.140625" style="113"/>
    <col min="6" max="6" width="13.28515625" style="113" bestFit="1" customWidth="1"/>
    <col min="7" max="7" width="12" style="113" customWidth="1"/>
    <col min="8" max="8" width="12.140625" style="113" customWidth="1"/>
    <col min="9" max="9" width="14.140625" style="113" customWidth="1"/>
    <col min="10" max="16384" width="9.140625" style="113"/>
  </cols>
  <sheetData>
    <row r="2" spans="2:11" x14ac:dyDescent="0.25">
      <c r="B2" s="105" t="s">
        <v>215</v>
      </c>
    </row>
    <row r="4" spans="2:11" x14ac:dyDescent="0.25">
      <c r="B4" s="105" t="s">
        <v>61</v>
      </c>
    </row>
    <row r="5" spans="2:11" s="105" customFormat="1" x14ac:dyDescent="0.25">
      <c r="B5" s="7" t="s">
        <v>8</v>
      </c>
      <c r="F5" s="115">
        <v>125000</v>
      </c>
    </row>
    <row r="6" spans="2:11" s="105" customFormat="1" x14ac:dyDescent="0.25">
      <c r="B6" s="7" t="s">
        <v>216</v>
      </c>
      <c r="F6" s="116">
        <v>3</v>
      </c>
    </row>
    <row r="7" spans="2:11" s="105" customFormat="1" x14ac:dyDescent="0.25">
      <c r="B7" s="7" t="s">
        <v>9</v>
      </c>
      <c r="F7" s="117">
        <v>4.65E-2</v>
      </c>
    </row>
    <row r="8" spans="2:11" s="105" customFormat="1" x14ac:dyDescent="0.25">
      <c r="B8" s="7"/>
      <c r="F8" s="118"/>
    </row>
    <row r="9" spans="2:11" s="105" customFormat="1" x14ac:dyDescent="0.25">
      <c r="B9" s="7" t="s">
        <v>217</v>
      </c>
      <c r="F9" s="119">
        <v>25</v>
      </c>
    </row>
    <row r="10" spans="2:11" s="105" customFormat="1" x14ac:dyDescent="0.25">
      <c r="B10" s="7"/>
    </row>
    <row r="11" spans="2:11" x14ac:dyDescent="0.25">
      <c r="B11" s="120" t="s">
        <v>218</v>
      </c>
    </row>
    <row r="12" spans="2:11" x14ac:dyDescent="0.25">
      <c r="B12" s="120" t="s">
        <v>219</v>
      </c>
    </row>
    <row r="13" spans="2:11" x14ac:dyDescent="0.25">
      <c r="B13" s="120" t="s">
        <v>220</v>
      </c>
    </row>
    <row r="14" spans="2:11" x14ac:dyDescent="0.25">
      <c r="B14" s="120" t="s">
        <v>221</v>
      </c>
    </row>
    <row r="15" spans="2:11" ht="15.75" thickBot="1" x14ac:dyDescent="0.3"/>
    <row r="16" spans="2:11" ht="15.75" thickBot="1" x14ac:dyDescent="0.3">
      <c r="B16" s="144" t="s">
        <v>222</v>
      </c>
      <c r="C16" s="144"/>
      <c r="D16" s="144"/>
      <c r="E16" s="144"/>
      <c r="F16" s="144"/>
      <c r="G16" s="144"/>
      <c r="H16" s="144"/>
      <c r="I16" s="144"/>
      <c r="J16" s="144"/>
      <c r="K16" s="144"/>
    </row>
    <row r="18" spans="2:11" x14ac:dyDescent="0.25">
      <c r="B18" s="121" t="s">
        <v>223</v>
      </c>
    </row>
    <row r="19" spans="2:11" ht="15.75" thickBot="1" x14ac:dyDescent="0.3"/>
    <row r="20" spans="2:11" ht="15.75" thickBot="1" x14ac:dyDescent="0.3">
      <c r="C20" s="105" t="s">
        <v>224</v>
      </c>
      <c r="I20" s="48">
        <f>PMT(F7/12,F6*12,-F5)</f>
        <v>3726.7509791696143</v>
      </c>
    </row>
    <row r="21" spans="2:11" ht="15.75" thickBot="1" x14ac:dyDescent="0.3">
      <c r="C21" s="105" t="s">
        <v>225</v>
      </c>
      <c r="I21" s="48">
        <f>I28</f>
        <v>169.00687787951975</v>
      </c>
    </row>
    <row r="22" spans="2:11" ht="15.75" thickBot="1" x14ac:dyDescent="0.3">
      <c r="C22" s="105" t="s">
        <v>226</v>
      </c>
      <c r="I22" s="48">
        <f t="shared" ref="I22:I23" si="0">I29</f>
        <v>3557.7441012900945</v>
      </c>
    </row>
    <row r="23" spans="2:11" ht="15.75" thickBot="1" x14ac:dyDescent="0.3">
      <c r="C23" s="105" t="s">
        <v>227</v>
      </c>
      <c r="I23" s="48">
        <f t="shared" si="0"/>
        <v>40056.934061166612</v>
      </c>
    </row>
    <row r="24" spans="2:11" ht="15.75" thickBot="1" x14ac:dyDescent="0.3"/>
    <row r="25" spans="2:11" ht="15.75" thickBot="1" x14ac:dyDescent="0.3">
      <c r="B25" s="144" t="s">
        <v>110</v>
      </c>
      <c r="C25" s="144"/>
      <c r="D25" s="144"/>
      <c r="E25" s="144"/>
      <c r="F25" s="144"/>
      <c r="G25" s="144"/>
      <c r="H25" s="144"/>
      <c r="I25" s="144"/>
      <c r="J25" s="144"/>
      <c r="K25" s="144"/>
    </row>
    <row r="27" spans="2:11" x14ac:dyDescent="0.25">
      <c r="C27" s="113" t="s">
        <v>228</v>
      </c>
      <c r="I27" s="100">
        <f>PV(F7/12,F6*12-F9+1,-I20)</f>
        <v>43614.678162456708</v>
      </c>
    </row>
    <row r="28" spans="2:11" x14ac:dyDescent="0.25">
      <c r="C28" s="113" t="s">
        <v>229</v>
      </c>
      <c r="I28" s="100">
        <f>I27*F7/12</f>
        <v>169.00687787951975</v>
      </c>
    </row>
    <row r="29" spans="2:11" x14ac:dyDescent="0.25">
      <c r="C29" s="113" t="s">
        <v>230</v>
      </c>
      <c r="I29" s="100">
        <f>I20-I28</f>
        <v>3557.7441012900945</v>
      </c>
    </row>
    <row r="30" spans="2:11" x14ac:dyDescent="0.25">
      <c r="C30" s="113" t="s">
        <v>231</v>
      </c>
      <c r="I30" s="100">
        <f>I27-I29</f>
        <v>40056.934061166612</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132"/>
  <sheetViews>
    <sheetView topLeftCell="A61" zoomScale="115" zoomScaleNormal="115" workbookViewId="0">
      <selection activeCell="D88" sqref="D88:D89"/>
    </sheetView>
  </sheetViews>
  <sheetFormatPr defaultRowHeight="15" x14ac:dyDescent="0.25"/>
  <cols>
    <col min="1" max="1" width="3.5703125" customWidth="1"/>
    <col min="2" max="2" width="5" customWidth="1"/>
    <col min="3" max="3" width="12.5703125" customWidth="1"/>
    <col min="4" max="4" width="16" customWidth="1"/>
    <col min="5" max="5" width="13.7109375" customWidth="1"/>
    <col min="6" max="6" width="10.28515625" customWidth="1"/>
    <col min="7" max="7" width="11.5703125" customWidth="1"/>
    <col min="8" max="8" width="12.28515625" bestFit="1" customWidth="1"/>
    <col min="10" max="14" width="12.7109375" customWidth="1"/>
    <col min="15" max="15" width="11.7109375" bestFit="1" customWidth="1"/>
  </cols>
  <sheetData>
    <row r="2" spans="2:8" ht="23.25" x14ac:dyDescent="0.35">
      <c r="B2" s="1" t="s">
        <v>98</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ht="14.65" customHeight="1" x14ac:dyDescent="0.25">
      <c r="B11" s="40" t="s">
        <v>0</v>
      </c>
      <c r="C11" s="109" t="s">
        <v>2</v>
      </c>
    </row>
    <row r="12" spans="2:8" ht="14.65" customHeight="1" x14ac:dyDescent="0.25">
      <c r="C12" s="109" t="s">
        <v>91</v>
      </c>
    </row>
    <row r="13" spans="2:8" ht="14.65" customHeight="1" x14ac:dyDescent="0.25">
      <c r="C13" s="109" t="s">
        <v>259</v>
      </c>
    </row>
    <row r="14" spans="2:8" ht="14.65" customHeight="1" x14ac:dyDescent="0.25">
      <c r="C14" s="109" t="s">
        <v>99</v>
      </c>
    </row>
    <row r="15" spans="2:8" ht="15.75" thickBot="1" x14ac:dyDescent="0.3"/>
    <row r="16" spans="2:8" ht="15.75" thickBot="1" x14ac:dyDescent="0.3">
      <c r="D16" s="60" t="s">
        <v>90</v>
      </c>
      <c r="E16" s="61" t="s">
        <v>4</v>
      </c>
      <c r="F16" s="58"/>
    </row>
    <row r="17" spans="3:10" x14ac:dyDescent="0.25">
      <c r="D17" s="62">
        <v>1</v>
      </c>
      <c r="E17" s="65">
        <v>0</v>
      </c>
      <c r="F17" s="58"/>
    </row>
    <row r="18" spans="3:10" x14ac:dyDescent="0.25">
      <c r="D18" s="64">
        <v>2</v>
      </c>
      <c r="E18" s="65">
        <v>0</v>
      </c>
      <c r="F18" s="58"/>
    </row>
    <row r="19" spans="3:10" x14ac:dyDescent="0.25">
      <c r="D19" s="64">
        <v>3</v>
      </c>
      <c r="E19" s="97">
        <v>0</v>
      </c>
    </row>
    <row r="20" spans="3:10" ht="15.75" thickBot="1" x14ac:dyDescent="0.3">
      <c r="D20" s="64">
        <v>4</v>
      </c>
      <c r="E20" s="97">
        <v>0</v>
      </c>
      <c r="H20" s="123"/>
    </row>
    <row r="21" spans="3:10" ht="15.75" thickBot="1" x14ac:dyDescent="0.3">
      <c r="D21" s="64">
        <v>5</v>
      </c>
      <c r="E21" s="96">
        <v>7500</v>
      </c>
      <c r="F21" s="58" t="s">
        <v>5</v>
      </c>
      <c r="H21" s="123"/>
      <c r="J21" s="123"/>
    </row>
    <row r="22" spans="3:10" x14ac:dyDescent="0.25">
      <c r="D22" s="64">
        <v>6</v>
      </c>
      <c r="E22" s="97">
        <f>E21</f>
        <v>7500</v>
      </c>
      <c r="F22" s="58"/>
      <c r="H22" s="123"/>
      <c r="J22" s="123"/>
    </row>
    <row r="23" spans="3:10" x14ac:dyDescent="0.25">
      <c r="D23" s="64">
        <v>7</v>
      </c>
      <c r="E23" s="97">
        <f t="shared" ref="E23:E24" si="0">E22</f>
        <v>7500</v>
      </c>
      <c r="F23" s="58"/>
      <c r="H23" s="123"/>
      <c r="J23" s="123"/>
    </row>
    <row r="24" spans="3:10" x14ac:dyDescent="0.25">
      <c r="D24" s="64">
        <v>8</v>
      </c>
      <c r="E24" s="97">
        <f t="shared" si="0"/>
        <v>7500</v>
      </c>
      <c r="F24" s="58"/>
      <c r="H24" s="123"/>
      <c r="J24" s="123"/>
    </row>
    <row r="25" spans="3:10" ht="15.75" thickBot="1" x14ac:dyDescent="0.3">
      <c r="D25" s="66">
        <v>9</v>
      </c>
      <c r="E25" s="65">
        <f t="shared" ref="E25" si="1">E24</f>
        <v>7500</v>
      </c>
      <c r="F25" s="58"/>
      <c r="H25" s="123"/>
      <c r="J25" s="123"/>
    </row>
    <row r="26" spans="3:10" s="57" customFormat="1" ht="15.75" thickBot="1" x14ac:dyDescent="0.3">
      <c r="D26" s="59">
        <v>10</v>
      </c>
      <c r="E26" s="63">
        <v>10000</v>
      </c>
      <c r="F26" s="58" t="s">
        <v>5</v>
      </c>
      <c r="H26" s="123"/>
      <c r="J26" s="123"/>
    </row>
    <row r="27" spans="3:10" x14ac:dyDescent="0.25">
      <c r="J27" s="123"/>
    </row>
    <row r="28" spans="3:10" x14ac:dyDescent="0.25">
      <c r="C28" t="s">
        <v>92</v>
      </c>
      <c r="E28" s="3">
        <v>0.05</v>
      </c>
      <c r="I28" s="4"/>
    </row>
    <row r="30" spans="3:10" x14ac:dyDescent="0.25">
      <c r="C30" t="s">
        <v>93</v>
      </c>
    </row>
    <row r="31" spans="3:10" x14ac:dyDescent="0.25">
      <c r="C31" t="s">
        <v>94</v>
      </c>
    </row>
    <row r="32" spans="3:10" x14ac:dyDescent="0.25">
      <c r="C32" s="67" t="s">
        <v>232</v>
      </c>
    </row>
    <row r="33" spans="2:8" ht="15.75" thickBot="1" x14ac:dyDescent="0.3"/>
    <row r="34" spans="2:8" ht="15.75" thickBot="1" x14ac:dyDescent="0.3">
      <c r="C34" t="s">
        <v>95</v>
      </c>
      <c r="D34" s="145">
        <f>PV(E28,4,0,PV(E28,6,E21,E26-E21))</f>
        <v>32853.166321520293</v>
      </c>
      <c r="E34" s="146"/>
    </row>
    <row r="36" spans="2:8" x14ac:dyDescent="0.25">
      <c r="B36" s="71" t="s">
        <v>1</v>
      </c>
      <c r="C36" s="68" t="s">
        <v>115</v>
      </c>
      <c r="D36" s="68"/>
      <c r="E36" s="68"/>
      <c r="F36" s="68"/>
      <c r="G36" s="68"/>
      <c r="H36" s="68"/>
    </row>
    <row r="37" spans="2:8" s="67" customFormat="1" x14ac:dyDescent="0.25">
      <c r="B37" s="68"/>
      <c r="C37" s="73" t="s">
        <v>116</v>
      </c>
      <c r="D37" s="68"/>
      <c r="E37" s="68"/>
      <c r="F37" s="68"/>
      <c r="G37" s="68"/>
      <c r="H37" s="68"/>
    </row>
    <row r="38" spans="2:8" s="67" customFormat="1" x14ac:dyDescent="0.25">
      <c r="B38" s="68"/>
      <c r="C38" s="73" t="s">
        <v>242</v>
      </c>
      <c r="D38" s="68"/>
      <c r="E38" s="68"/>
      <c r="F38" s="68"/>
      <c r="G38" s="68"/>
      <c r="H38" s="68"/>
    </row>
    <row r="39" spans="2:8" s="67" customFormat="1" ht="15.75" thickBot="1" x14ac:dyDescent="0.3">
      <c r="B39" s="68"/>
      <c r="C39" s="68"/>
      <c r="D39" s="68"/>
      <c r="E39" s="68"/>
      <c r="F39" s="68"/>
      <c r="G39" s="68"/>
      <c r="H39" s="68"/>
    </row>
    <row r="40" spans="2:8" s="67" customFormat="1" ht="15.75" thickBot="1" x14ac:dyDescent="0.3">
      <c r="B40" s="68"/>
      <c r="C40" s="74" t="s">
        <v>117</v>
      </c>
      <c r="D40" s="68"/>
      <c r="E40" s="68"/>
      <c r="F40" s="75">
        <v>0.11119999999999999</v>
      </c>
      <c r="G40" s="68"/>
      <c r="H40" s="68"/>
    </row>
    <row r="41" spans="2:8" s="67" customFormat="1" ht="15.75" thickBot="1" x14ac:dyDescent="0.3">
      <c r="B41" s="68"/>
      <c r="C41" s="68"/>
      <c r="D41" s="68"/>
      <c r="E41" s="69"/>
      <c r="F41" s="69"/>
      <c r="G41" s="68"/>
      <c r="H41" s="68"/>
    </row>
    <row r="42" spans="2:8" s="67" customFormat="1" ht="45.75" thickBot="1" x14ac:dyDescent="0.3">
      <c r="B42" s="68"/>
      <c r="C42" s="68"/>
      <c r="D42" s="68"/>
      <c r="E42" s="77" t="s">
        <v>118</v>
      </c>
      <c r="F42" s="77" t="s">
        <v>119</v>
      </c>
      <c r="G42" s="68"/>
      <c r="H42" s="68"/>
    </row>
    <row r="43" spans="2:8" s="67" customFormat="1" x14ac:dyDescent="0.25">
      <c r="B43" s="68"/>
      <c r="C43" s="68"/>
      <c r="D43" s="68"/>
      <c r="E43" s="70" t="s">
        <v>79</v>
      </c>
      <c r="F43" s="76">
        <f>FV(F40/4,4,0,-1)-1</f>
        <v>0.11592357708966583</v>
      </c>
      <c r="G43" s="68"/>
      <c r="H43" s="68"/>
    </row>
    <row r="44" spans="2:8" s="67" customFormat="1" x14ac:dyDescent="0.25">
      <c r="B44" s="68"/>
      <c r="C44" s="68"/>
      <c r="D44" s="68"/>
      <c r="E44" s="70" t="s">
        <v>80</v>
      </c>
      <c r="F44" s="76">
        <f>FV(F40/12,12,0,-1)-1</f>
        <v>0.11704626066770452</v>
      </c>
      <c r="G44" s="68"/>
      <c r="H44" s="68"/>
    </row>
    <row r="45" spans="2:8" s="67" customFormat="1" ht="15.75" thickBot="1" x14ac:dyDescent="0.3">
      <c r="B45" s="68"/>
      <c r="C45" s="68"/>
      <c r="D45" s="68"/>
      <c r="E45" s="70" t="s">
        <v>120</v>
      </c>
      <c r="F45" s="76">
        <f>FV(F40/365,365,0,-1)-1</f>
        <v>0.11759948089731731</v>
      </c>
      <c r="G45" s="68"/>
      <c r="H45" s="68"/>
    </row>
    <row r="46" spans="2:8" s="67" customFormat="1" ht="15.75" thickBot="1" x14ac:dyDescent="0.3">
      <c r="B46" s="68"/>
      <c r="C46" s="68"/>
      <c r="D46" s="68"/>
      <c r="E46" s="78" t="s">
        <v>121</v>
      </c>
      <c r="F46" s="72">
        <f>EXP(F40)-1</f>
        <v>0.11761840818521718</v>
      </c>
      <c r="G46" s="68"/>
      <c r="H46" s="68"/>
    </row>
    <row r="47" spans="2:8" s="67" customFormat="1" x14ac:dyDescent="0.25"/>
    <row r="48" spans="2:8" s="67" customFormat="1" x14ac:dyDescent="0.25"/>
    <row r="49" spans="2:8" x14ac:dyDescent="0.25">
      <c r="B49" s="55" t="s">
        <v>6</v>
      </c>
      <c r="C49" t="s">
        <v>76</v>
      </c>
    </row>
    <row r="50" spans="2:8" s="94" customFormat="1" ht="15.75" thickBot="1" x14ac:dyDescent="0.3">
      <c r="B50" s="95"/>
    </row>
    <row r="51" spans="2:8" s="113" customFormat="1" ht="15.75" thickBot="1" x14ac:dyDescent="0.3">
      <c r="B51" s="95"/>
      <c r="D51" s="60" t="s">
        <v>90</v>
      </c>
      <c r="E51" s="61" t="s">
        <v>4</v>
      </c>
    </row>
    <row r="52" spans="2:8" s="113" customFormat="1" x14ac:dyDescent="0.25">
      <c r="B52" s="95"/>
      <c r="D52" s="124">
        <v>0</v>
      </c>
      <c r="E52" s="125">
        <v>3000</v>
      </c>
      <c r="G52" s="128"/>
    </row>
    <row r="53" spans="2:8" s="113" customFormat="1" x14ac:dyDescent="0.25">
      <c r="B53" s="95"/>
      <c r="D53" s="64">
        <v>1</v>
      </c>
      <c r="E53" s="97">
        <v>1500</v>
      </c>
      <c r="G53" s="128"/>
    </row>
    <row r="54" spans="2:8" s="113" customFormat="1" x14ac:dyDescent="0.25">
      <c r="B54" s="95"/>
      <c r="D54" s="64">
        <v>2</v>
      </c>
      <c r="E54" s="97">
        <v>1500</v>
      </c>
      <c r="G54" s="128"/>
    </row>
    <row r="55" spans="2:8" s="113" customFormat="1" x14ac:dyDescent="0.25">
      <c r="B55" s="95"/>
      <c r="D55" s="64">
        <v>3</v>
      </c>
      <c r="E55" s="127" t="s">
        <v>243</v>
      </c>
      <c r="G55" s="128"/>
    </row>
    <row r="56" spans="2:8" s="113" customFormat="1" x14ac:dyDescent="0.25">
      <c r="B56" s="95"/>
      <c r="D56" s="64">
        <v>4</v>
      </c>
      <c r="E56" s="127" t="s">
        <v>243</v>
      </c>
      <c r="G56" s="128"/>
    </row>
    <row r="57" spans="2:8" s="113" customFormat="1" x14ac:dyDescent="0.25">
      <c r="B57" s="95"/>
      <c r="D57" s="64">
        <v>5</v>
      </c>
      <c r="E57" s="127" t="s">
        <v>243</v>
      </c>
      <c r="G57" s="128"/>
    </row>
    <row r="58" spans="2:8" s="113" customFormat="1" x14ac:dyDescent="0.25">
      <c r="B58" s="95"/>
      <c r="D58" s="64">
        <v>6</v>
      </c>
      <c r="E58" s="127" t="s">
        <v>243</v>
      </c>
      <c r="G58" s="128"/>
    </row>
    <row r="59" spans="2:8" s="113" customFormat="1" x14ac:dyDescent="0.25">
      <c r="B59" s="95"/>
      <c r="D59" s="64">
        <v>7</v>
      </c>
      <c r="E59" s="127">
        <v>1500</v>
      </c>
      <c r="G59" s="128"/>
    </row>
    <row r="60" spans="2:8" s="113" customFormat="1" x14ac:dyDescent="0.25">
      <c r="B60" s="95"/>
      <c r="D60" s="64">
        <v>8</v>
      </c>
      <c r="E60" s="127">
        <v>1500</v>
      </c>
      <c r="G60" s="128"/>
      <c r="H60" s="100"/>
    </row>
    <row r="61" spans="2:8" s="113" customFormat="1" x14ac:dyDescent="0.25">
      <c r="B61" s="95"/>
      <c r="D61" s="64">
        <v>9</v>
      </c>
      <c r="E61" s="127">
        <v>1500</v>
      </c>
      <c r="G61" s="128"/>
    </row>
    <row r="62" spans="2:8" s="113" customFormat="1" ht="15.75" thickBot="1" x14ac:dyDescent="0.3">
      <c r="B62" s="95"/>
      <c r="D62" s="59">
        <v>10</v>
      </c>
      <c r="E62" s="126">
        <v>3250</v>
      </c>
      <c r="G62" s="128"/>
    </row>
    <row r="63" spans="2:8" s="113" customFormat="1" x14ac:dyDescent="0.25">
      <c r="B63" s="95"/>
      <c r="G63" s="128"/>
    </row>
    <row r="64" spans="2:8" x14ac:dyDescent="0.25">
      <c r="C64" s="98" t="s">
        <v>289</v>
      </c>
    </row>
    <row r="65" spans="2:15" ht="14.65" customHeight="1" x14ac:dyDescent="0.25">
      <c r="C65" s="109" t="s">
        <v>291</v>
      </c>
    </row>
    <row r="66" spans="2:15" x14ac:dyDescent="0.25">
      <c r="C66" s="98" t="s">
        <v>77</v>
      </c>
      <c r="L66" s="4"/>
    </row>
    <row r="67" spans="2:15" x14ac:dyDescent="0.25">
      <c r="C67" s="98" t="s">
        <v>253</v>
      </c>
    </row>
    <row r="68" spans="2:15" s="113" customFormat="1" x14ac:dyDescent="0.25">
      <c r="C68" s="113" t="s">
        <v>254</v>
      </c>
    </row>
    <row r="69" spans="2:15" s="113" customFormat="1" x14ac:dyDescent="0.25">
      <c r="C69" s="113" t="s">
        <v>255</v>
      </c>
    </row>
    <row r="70" spans="2:15" s="79" customFormat="1" x14ac:dyDescent="0.25">
      <c r="O70" s="100"/>
    </row>
    <row r="71" spans="2:15" x14ac:dyDescent="0.25">
      <c r="J71" s="98"/>
      <c r="K71" s="98"/>
      <c r="L71" s="99"/>
      <c r="N71" s="79"/>
      <c r="O71" s="100"/>
    </row>
    <row r="72" spans="2:15" x14ac:dyDescent="0.25">
      <c r="C72" s="98" t="s">
        <v>252</v>
      </c>
      <c r="D72" s="98"/>
      <c r="E72" s="99">
        <f>3000+PV(0.06,2,-1500)+PV(0.06,6,0,PV(0.06,4,1500,3250-1500))</f>
        <v>10391.423947359424</v>
      </c>
      <c r="J72" s="98"/>
      <c r="K72" s="98"/>
      <c r="L72" s="99"/>
      <c r="O72" s="113"/>
    </row>
    <row r="73" spans="2:15" x14ac:dyDescent="0.25">
      <c r="C73" s="98" t="s">
        <v>96</v>
      </c>
      <c r="D73" s="98"/>
      <c r="E73" s="99">
        <f>8500-E72</f>
        <v>-1891.4239473594243</v>
      </c>
      <c r="J73" s="98"/>
      <c r="K73" s="98"/>
      <c r="L73" s="99"/>
      <c r="O73" s="113"/>
    </row>
    <row r="74" spans="2:15" x14ac:dyDescent="0.25">
      <c r="C74" s="98" t="s">
        <v>290</v>
      </c>
      <c r="D74" s="98"/>
      <c r="E74" s="99">
        <f>FV(0.06,2,0,-E73)</f>
        <v>-2125.2039472530496</v>
      </c>
      <c r="J74" s="98"/>
      <c r="K74" s="98"/>
      <c r="L74" s="99"/>
      <c r="O74" s="113"/>
    </row>
    <row r="75" spans="2:15" x14ac:dyDescent="0.25">
      <c r="C75" s="98" t="s">
        <v>97</v>
      </c>
      <c r="D75" s="98"/>
      <c r="E75" s="99">
        <f>PMT(0.06,4,-E74)</f>
        <v>-613.3157787353291</v>
      </c>
      <c r="J75" s="98"/>
      <c r="K75" s="98"/>
      <c r="L75" s="99"/>
      <c r="O75" s="113"/>
    </row>
    <row r="76" spans="2:15" x14ac:dyDescent="0.25">
      <c r="J76" s="98"/>
      <c r="K76" s="98"/>
      <c r="L76" s="99"/>
    </row>
    <row r="77" spans="2:15" x14ac:dyDescent="0.25">
      <c r="H77" s="98"/>
      <c r="J77" s="98"/>
      <c r="K77" s="98"/>
      <c r="L77" s="99"/>
    </row>
    <row r="78" spans="2:15" x14ac:dyDescent="0.25">
      <c r="F78" s="40"/>
      <c r="O78" s="100"/>
    </row>
    <row r="79" spans="2:15" x14ac:dyDescent="0.25">
      <c r="B79" s="55" t="s">
        <v>7</v>
      </c>
      <c r="C79" t="s">
        <v>20</v>
      </c>
    </row>
    <row r="80" spans="2:15" ht="17.25" x14ac:dyDescent="0.4">
      <c r="C80" t="s">
        <v>292</v>
      </c>
      <c r="I80" s="18" t="s">
        <v>3</v>
      </c>
      <c r="J80" s="18" t="s">
        <v>17</v>
      </c>
      <c r="K80" s="18" t="s">
        <v>18</v>
      </c>
      <c r="L80" s="18" t="s">
        <v>28</v>
      </c>
      <c r="M80" s="18" t="s">
        <v>19</v>
      </c>
      <c r="N80" s="18"/>
    </row>
    <row r="81" spans="2:13" x14ac:dyDescent="0.25">
      <c r="C81" t="s">
        <v>244</v>
      </c>
      <c r="I81" s="17">
        <v>1</v>
      </c>
      <c r="J81">
        <v>2500</v>
      </c>
      <c r="K81">
        <v>1800</v>
      </c>
      <c r="L81">
        <v>300</v>
      </c>
      <c r="M81">
        <v>125</v>
      </c>
    </row>
    <row r="82" spans="2:13" ht="15.75" thickBot="1" x14ac:dyDescent="0.3">
      <c r="I82" s="17">
        <v>2</v>
      </c>
      <c r="J82">
        <v>3000</v>
      </c>
      <c r="K82">
        <v>2200</v>
      </c>
      <c r="L82">
        <v>315</v>
      </c>
      <c r="M82">
        <v>150</v>
      </c>
    </row>
    <row r="83" spans="2:13" ht="15.75" thickBot="1" x14ac:dyDescent="0.3">
      <c r="C83" s="7" t="s">
        <v>21</v>
      </c>
      <c r="E83" s="19">
        <v>6</v>
      </c>
      <c r="I83" s="17">
        <v>3</v>
      </c>
      <c r="J83">
        <v>3250</v>
      </c>
      <c r="K83">
        <v>2400</v>
      </c>
      <c r="L83">
        <v>325</v>
      </c>
      <c r="M83">
        <v>162</v>
      </c>
    </row>
    <row r="84" spans="2:13" ht="15.75" thickBot="1" x14ac:dyDescent="0.3">
      <c r="C84" s="16"/>
      <c r="I84" s="17">
        <v>4</v>
      </c>
      <c r="J84">
        <v>4000</v>
      </c>
      <c r="K84">
        <v>3100</v>
      </c>
      <c r="L84">
        <v>400</v>
      </c>
      <c r="M84">
        <v>200</v>
      </c>
    </row>
    <row r="85" spans="2:13" ht="15.75" thickBot="1" x14ac:dyDescent="0.3">
      <c r="C85" s="7" t="s">
        <v>18</v>
      </c>
      <c r="E85" s="20">
        <f>VLOOKUP(E83,I81:M90,3)</f>
        <v>3900</v>
      </c>
      <c r="I85" s="17">
        <v>5</v>
      </c>
      <c r="J85">
        <v>4500</v>
      </c>
      <c r="K85">
        <v>3300</v>
      </c>
      <c r="L85">
        <v>430</v>
      </c>
      <c r="M85">
        <v>225</v>
      </c>
    </row>
    <row r="86" spans="2:13" x14ac:dyDescent="0.25">
      <c r="I86" s="17">
        <v>6</v>
      </c>
      <c r="J86">
        <v>5200</v>
      </c>
      <c r="K86">
        <v>3900</v>
      </c>
      <c r="L86">
        <v>450</v>
      </c>
      <c r="M86">
        <v>260</v>
      </c>
    </row>
    <row r="87" spans="2:13" x14ac:dyDescent="0.25">
      <c r="I87" s="17">
        <v>7</v>
      </c>
      <c r="J87">
        <v>5900</v>
      </c>
      <c r="K87">
        <v>4400</v>
      </c>
      <c r="L87">
        <v>500</v>
      </c>
      <c r="M87">
        <v>295</v>
      </c>
    </row>
    <row r="88" spans="2:13" x14ac:dyDescent="0.25">
      <c r="I88" s="17">
        <v>8</v>
      </c>
      <c r="J88">
        <v>6500</v>
      </c>
      <c r="K88">
        <v>4800</v>
      </c>
      <c r="L88">
        <v>550</v>
      </c>
      <c r="M88">
        <v>325</v>
      </c>
    </row>
    <row r="89" spans="2:13" x14ac:dyDescent="0.25">
      <c r="I89" s="17">
        <v>9</v>
      </c>
      <c r="J89">
        <v>8000</v>
      </c>
      <c r="K89">
        <v>6000</v>
      </c>
      <c r="L89">
        <v>590</v>
      </c>
      <c r="M89">
        <v>400</v>
      </c>
    </row>
    <row r="90" spans="2:13" x14ac:dyDescent="0.25">
      <c r="I90" s="17">
        <v>10</v>
      </c>
      <c r="J90">
        <v>9250</v>
      </c>
      <c r="K90">
        <v>6900</v>
      </c>
      <c r="L90">
        <v>700</v>
      </c>
      <c r="M90">
        <v>475</v>
      </c>
    </row>
    <row r="93" spans="2:13" x14ac:dyDescent="0.25">
      <c r="B93" s="95" t="s">
        <v>127</v>
      </c>
      <c r="C93" s="113" t="s">
        <v>202</v>
      </c>
      <c r="D93" s="113"/>
      <c r="E93" s="113"/>
      <c r="F93" s="113"/>
      <c r="G93" s="113"/>
      <c r="H93" s="113"/>
      <c r="I93" s="113"/>
    </row>
    <row r="94" spans="2:13" x14ac:dyDescent="0.25">
      <c r="B94" s="113"/>
      <c r="C94" s="113" t="s">
        <v>293</v>
      </c>
      <c r="D94" s="113"/>
      <c r="E94" s="113"/>
      <c r="F94" s="113"/>
      <c r="G94" s="113"/>
      <c r="H94" s="113"/>
      <c r="I94" s="113"/>
    </row>
    <row r="95" spans="2:13" ht="15.75" thickBot="1" x14ac:dyDescent="0.3">
      <c r="B95" s="113"/>
      <c r="C95" s="113"/>
      <c r="D95" s="113"/>
      <c r="E95" s="113"/>
      <c r="F95" s="113"/>
      <c r="G95" s="113"/>
      <c r="H95" s="113"/>
      <c r="I95" s="113"/>
    </row>
    <row r="96" spans="2:13" ht="15.75" thickBot="1" x14ac:dyDescent="0.3">
      <c r="B96" s="113"/>
      <c r="C96" s="134" t="s">
        <v>3</v>
      </c>
      <c r="D96" s="135" t="s">
        <v>17</v>
      </c>
      <c r="E96" s="113"/>
      <c r="F96" s="136"/>
      <c r="G96" s="113"/>
      <c r="H96" s="113"/>
      <c r="I96" s="113"/>
    </row>
    <row r="97" spans="2:9" x14ac:dyDescent="0.25">
      <c r="B97" s="113"/>
      <c r="C97" s="129">
        <v>2007</v>
      </c>
      <c r="D97" s="130">
        <v>1075050</v>
      </c>
      <c r="E97" s="113"/>
      <c r="F97" s="113"/>
      <c r="G97" s="113"/>
      <c r="H97" s="113"/>
      <c r="I97" s="113"/>
    </row>
    <row r="98" spans="2:9" x14ac:dyDescent="0.25">
      <c r="B98" s="113"/>
      <c r="C98" s="80">
        <v>2008</v>
      </c>
      <c r="D98" s="84">
        <v>948500</v>
      </c>
      <c r="E98" s="113"/>
      <c r="F98" s="113"/>
      <c r="G98" s="113"/>
      <c r="H98" s="113"/>
      <c r="I98" s="113"/>
    </row>
    <row r="99" spans="2:9" x14ac:dyDescent="0.25">
      <c r="B99" s="113"/>
      <c r="C99" s="80">
        <v>2009</v>
      </c>
      <c r="D99" s="84">
        <v>796845</v>
      </c>
      <c r="E99" s="113"/>
      <c r="F99" s="113"/>
      <c r="G99" s="113"/>
      <c r="H99" s="113"/>
      <c r="I99" s="113"/>
    </row>
    <row r="100" spans="2:9" x14ac:dyDescent="0.25">
      <c r="B100" s="113"/>
      <c r="C100" s="80">
        <v>2010</v>
      </c>
      <c r="D100" s="84">
        <v>856210</v>
      </c>
      <c r="E100" s="113"/>
      <c r="F100" s="113"/>
      <c r="G100" s="113"/>
      <c r="H100" s="113"/>
      <c r="I100" s="113"/>
    </row>
    <row r="101" spans="2:9" x14ac:dyDescent="0.25">
      <c r="B101" s="113"/>
      <c r="C101" s="80">
        <v>2011</v>
      </c>
      <c r="D101" s="84">
        <v>964585</v>
      </c>
      <c r="E101" s="113"/>
      <c r="F101" s="113"/>
      <c r="G101" s="113"/>
      <c r="H101" s="113"/>
      <c r="I101" s="113"/>
    </row>
    <row r="102" spans="2:9" x14ac:dyDescent="0.25">
      <c r="B102" s="113"/>
      <c r="C102" s="80">
        <v>2012</v>
      </c>
      <c r="D102" s="84">
        <v>1321800</v>
      </c>
      <c r="E102" s="113"/>
      <c r="F102" s="113"/>
      <c r="G102" s="113"/>
      <c r="H102" s="113"/>
      <c r="I102" s="113"/>
    </row>
    <row r="103" spans="2:9" x14ac:dyDescent="0.25">
      <c r="B103" s="113"/>
      <c r="C103" s="137">
        <v>2013</v>
      </c>
      <c r="D103" s="138">
        <v>1216500</v>
      </c>
      <c r="E103" s="113"/>
      <c r="F103" s="113"/>
      <c r="G103" s="113"/>
      <c r="H103" s="113"/>
      <c r="I103" s="113"/>
    </row>
    <row r="104" spans="2:9" x14ac:dyDescent="0.25">
      <c r="B104" s="113"/>
      <c r="C104" s="137">
        <v>2014</v>
      </c>
      <c r="D104" s="138">
        <v>1429500</v>
      </c>
      <c r="E104" s="113"/>
      <c r="F104" s="113"/>
      <c r="G104" s="113"/>
      <c r="H104" s="113"/>
      <c r="I104" s="113"/>
    </row>
    <row r="105" spans="2:9" x14ac:dyDescent="0.25">
      <c r="B105" s="113"/>
      <c r="C105" s="137">
        <v>2015</v>
      </c>
      <c r="D105" s="138">
        <v>1562540</v>
      </c>
      <c r="E105" s="113"/>
      <c r="F105" s="113"/>
      <c r="G105" s="113"/>
      <c r="H105" s="113"/>
      <c r="I105" s="113"/>
    </row>
    <row r="106" spans="2:9" s="113" customFormat="1" x14ac:dyDescent="0.25">
      <c r="C106" s="137">
        <v>2016</v>
      </c>
      <c r="D106" s="138">
        <v>1386540</v>
      </c>
    </row>
    <row r="107" spans="2:9" s="113" customFormat="1" x14ac:dyDescent="0.25">
      <c r="C107" s="137">
        <v>2017</v>
      </c>
      <c r="D107" s="138">
        <v>1486550</v>
      </c>
    </row>
    <row r="108" spans="2:9" ht="15.75" thickBot="1" x14ac:dyDescent="0.3">
      <c r="B108" s="113"/>
      <c r="C108" s="81">
        <v>2018</v>
      </c>
      <c r="D108" s="82">
        <f>TREND(D97:D107,C97:C107,C108)</f>
        <v>1595251.2727272809</v>
      </c>
      <c r="E108" s="113"/>
      <c r="F108" s="113"/>
      <c r="G108" s="113"/>
      <c r="H108" s="113"/>
      <c r="I108" s="113"/>
    </row>
    <row r="109" spans="2:9" x14ac:dyDescent="0.25">
      <c r="B109" s="113"/>
      <c r="C109" s="113"/>
      <c r="D109" s="113"/>
      <c r="E109" s="113"/>
      <c r="F109" s="113"/>
      <c r="G109" s="113"/>
      <c r="H109" s="113"/>
      <c r="I109" s="113"/>
    </row>
    <row r="110" spans="2:9" x14ac:dyDescent="0.25">
      <c r="B110" s="95" t="s">
        <v>128</v>
      </c>
      <c r="C110" s="113" t="s">
        <v>256</v>
      </c>
      <c r="D110" s="113"/>
      <c r="E110" s="113"/>
      <c r="F110" s="113"/>
      <c r="G110" s="113"/>
      <c r="H110" s="113"/>
      <c r="I110" s="113"/>
    </row>
    <row r="111" spans="2:9" x14ac:dyDescent="0.25">
      <c r="B111" s="113"/>
      <c r="C111" s="113" t="s">
        <v>294</v>
      </c>
      <c r="D111" s="113"/>
      <c r="E111" s="113"/>
      <c r="F111" s="113"/>
      <c r="G111" s="113"/>
      <c r="H111" s="113"/>
      <c r="I111" s="113"/>
    </row>
    <row r="112" spans="2:9" x14ac:dyDescent="0.25">
      <c r="B112" s="113"/>
      <c r="C112" s="113" t="s">
        <v>260</v>
      </c>
      <c r="D112" s="113"/>
      <c r="E112" s="113"/>
      <c r="F112" s="113"/>
      <c r="G112" s="113"/>
      <c r="H112" s="113"/>
      <c r="I112" s="113"/>
    </row>
    <row r="113" spans="2:9" x14ac:dyDescent="0.25">
      <c r="B113" s="113"/>
      <c r="C113" s="113" t="s">
        <v>295</v>
      </c>
      <c r="D113" s="113"/>
      <c r="E113" s="113"/>
      <c r="F113" s="113"/>
      <c r="G113" s="113"/>
      <c r="H113" s="113"/>
      <c r="I113" s="113"/>
    </row>
    <row r="114" spans="2:9" x14ac:dyDescent="0.25">
      <c r="B114" s="113"/>
      <c r="C114" s="113"/>
      <c r="D114" s="113"/>
      <c r="E114" s="113"/>
      <c r="F114" s="113"/>
      <c r="G114" s="113"/>
      <c r="H114" s="113"/>
      <c r="I114" s="113"/>
    </row>
    <row r="115" spans="2:9" x14ac:dyDescent="0.25">
      <c r="B115" s="113"/>
      <c r="C115" s="113"/>
      <c r="D115" s="113"/>
      <c r="E115" s="113"/>
      <c r="F115" s="113"/>
      <c r="G115" s="113"/>
      <c r="H115" s="113"/>
      <c r="I115" s="113"/>
    </row>
    <row r="116" spans="2:9" x14ac:dyDescent="0.25">
      <c r="B116" s="113"/>
      <c r="C116" s="113"/>
      <c r="D116" s="113"/>
      <c r="E116" s="113"/>
      <c r="F116" s="113"/>
      <c r="G116" s="113"/>
      <c r="H116" s="113"/>
      <c r="I116" s="113"/>
    </row>
    <row r="117" spans="2:9" x14ac:dyDescent="0.25">
      <c r="B117" s="113"/>
      <c r="C117" s="113"/>
      <c r="D117" s="113"/>
      <c r="E117" s="113"/>
      <c r="F117" s="113"/>
      <c r="G117" s="113"/>
      <c r="H117" s="113"/>
      <c r="I117" s="113"/>
    </row>
    <row r="118" spans="2:9" x14ac:dyDescent="0.25">
      <c r="B118" s="113"/>
      <c r="C118" s="113"/>
      <c r="D118" s="113"/>
      <c r="E118" s="113"/>
      <c r="F118" s="113"/>
      <c r="G118" s="113"/>
      <c r="H118" s="113"/>
      <c r="I118" s="113"/>
    </row>
    <row r="119" spans="2:9" x14ac:dyDescent="0.25">
      <c r="B119" s="113"/>
      <c r="C119" s="113"/>
      <c r="D119" s="113"/>
      <c r="E119" s="113"/>
      <c r="F119" s="113"/>
      <c r="G119" s="113"/>
      <c r="H119" s="113"/>
      <c r="I119" s="113"/>
    </row>
    <row r="120" spans="2:9" x14ac:dyDescent="0.25">
      <c r="B120" s="113"/>
      <c r="C120" s="113"/>
      <c r="D120" s="113"/>
      <c r="E120" s="113"/>
      <c r="F120" s="113"/>
      <c r="G120" s="113"/>
      <c r="H120" s="113"/>
      <c r="I120" s="113"/>
    </row>
    <row r="121" spans="2:9" x14ac:dyDescent="0.25">
      <c r="B121" s="113"/>
      <c r="C121" s="113"/>
      <c r="D121" s="113"/>
      <c r="E121" s="113"/>
      <c r="F121" s="113"/>
      <c r="G121" s="113"/>
      <c r="H121" s="113"/>
      <c r="I121" s="113"/>
    </row>
    <row r="122" spans="2:9" x14ac:dyDescent="0.25">
      <c r="B122" s="113"/>
      <c r="C122" s="113"/>
      <c r="D122" s="113"/>
      <c r="E122" s="113"/>
      <c r="F122" s="113"/>
      <c r="G122" s="113"/>
      <c r="H122" s="113"/>
      <c r="I122" s="113"/>
    </row>
    <row r="123" spans="2:9" x14ac:dyDescent="0.25">
      <c r="B123" s="113"/>
      <c r="C123" s="113"/>
      <c r="D123" s="113"/>
      <c r="E123" s="113"/>
      <c r="F123" s="113"/>
      <c r="G123" s="113"/>
      <c r="H123" s="113"/>
      <c r="I123" s="113"/>
    </row>
    <row r="124" spans="2:9" x14ac:dyDescent="0.25">
      <c r="B124" s="113"/>
      <c r="C124" s="113"/>
      <c r="D124" s="113"/>
      <c r="E124" s="113"/>
      <c r="F124" s="113"/>
      <c r="G124" s="113"/>
      <c r="H124" s="113"/>
      <c r="I124" s="113"/>
    </row>
    <row r="125" spans="2:9" x14ac:dyDescent="0.25">
      <c r="B125" s="113"/>
      <c r="C125" s="113"/>
      <c r="D125" s="113"/>
      <c r="E125" s="113"/>
      <c r="F125" s="113"/>
      <c r="G125" s="113"/>
      <c r="H125" s="113"/>
      <c r="I125" s="113"/>
    </row>
    <row r="126" spans="2:9" x14ac:dyDescent="0.25">
      <c r="B126" s="113"/>
      <c r="C126" s="113"/>
      <c r="D126" s="113"/>
      <c r="E126" s="113"/>
      <c r="F126" s="113"/>
      <c r="G126" s="113"/>
      <c r="H126" s="113"/>
      <c r="I126" s="113"/>
    </row>
    <row r="127" spans="2:9" x14ac:dyDescent="0.25">
      <c r="B127" s="113"/>
      <c r="C127" s="113"/>
      <c r="D127" s="113"/>
      <c r="E127" s="113"/>
      <c r="F127" s="113"/>
      <c r="G127" s="113"/>
      <c r="H127" s="113"/>
      <c r="I127" s="113"/>
    </row>
    <row r="128" spans="2:9" x14ac:dyDescent="0.25">
      <c r="B128" s="113"/>
      <c r="C128" s="113"/>
      <c r="D128" s="113"/>
      <c r="E128" s="113"/>
      <c r="F128" s="113"/>
      <c r="G128" s="113"/>
      <c r="H128" s="113"/>
      <c r="I128" s="113"/>
    </row>
    <row r="129" spans="2:9" x14ac:dyDescent="0.25">
      <c r="B129" s="113"/>
      <c r="C129" s="113"/>
      <c r="D129" s="113"/>
      <c r="E129" s="113"/>
      <c r="F129" s="113"/>
      <c r="G129" s="113"/>
      <c r="H129" s="113"/>
      <c r="I129" s="113"/>
    </row>
    <row r="130" spans="2:9" x14ac:dyDescent="0.25">
      <c r="B130" s="113"/>
      <c r="C130" s="113"/>
      <c r="D130" s="113"/>
      <c r="E130" s="113"/>
      <c r="F130" s="113"/>
      <c r="G130" s="113"/>
      <c r="H130" s="113"/>
      <c r="I130" s="113"/>
    </row>
    <row r="131" spans="2:9" x14ac:dyDescent="0.25">
      <c r="B131" s="113"/>
      <c r="C131" s="113"/>
      <c r="D131" s="113"/>
      <c r="E131" s="113"/>
      <c r="F131" s="113"/>
      <c r="G131" s="113"/>
      <c r="H131" s="113"/>
      <c r="I131" s="113"/>
    </row>
    <row r="132" spans="2:9" x14ac:dyDescent="0.25">
      <c r="B132" s="113"/>
      <c r="C132" s="113"/>
      <c r="D132" s="113"/>
      <c r="E132" s="113"/>
      <c r="F132" s="113"/>
      <c r="G132" s="113"/>
      <c r="H132" s="113"/>
      <c r="I132" s="113"/>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4:L73"/>
  <sheetViews>
    <sheetView showGridLines="0" topLeftCell="A49" zoomScale="115" zoomScaleNormal="115" workbookViewId="0">
      <selection activeCell="C35" sqref="A35:F35"/>
    </sheetView>
  </sheetViews>
  <sheetFormatPr defaultColWidth="8.7109375" defaultRowHeight="15" x14ac:dyDescent="0.25"/>
  <cols>
    <col min="1" max="1" width="6.28515625" style="22" customWidth="1"/>
    <col min="2" max="2" width="4" style="21" customWidth="1"/>
    <col min="3" max="3" width="40.85546875" style="21" customWidth="1"/>
    <col min="4" max="6" width="16.7109375" style="22" customWidth="1"/>
    <col min="7" max="7" width="4.140625" style="22" customWidth="1"/>
    <col min="8" max="9" width="8.7109375" style="22"/>
    <col min="10" max="10" width="10.85546875" style="22" customWidth="1"/>
    <col min="11" max="16384" width="8.7109375" style="22"/>
  </cols>
  <sheetData>
    <row r="24" spans="3:6" ht="15.75" thickBot="1" x14ac:dyDescent="0.3"/>
    <row r="25" spans="3:6" ht="19.5" customHeight="1" thickBot="1" x14ac:dyDescent="0.3">
      <c r="C25" s="147" t="s">
        <v>58</v>
      </c>
      <c r="D25" s="148"/>
      <c r="E25" s="148"/>
      <c r="F25" s="148"/>
    </row>
    <row r="26" spans="3:6" ht="16.149999999999999" customHeight="1" x14ac:dyDescent="0.25">
      <c r="C26" s="35" t="s">
        <v>296</v>
      </c>
      <c r="F26" s="103">
        <v>-0.05</v>
      </c>
    </row>
    <row r="27" spans="3:6" x14ac:dyDescent="0.25">
      <c r="C27" s="35" t="s">
        <v>57</v>
      </c>
      <c r="F27" s="103">
        <v>4.2000000000000003E-2</v>
      </c>
    </row>
    <row r="28" spans="3:6" x14ac:dyDescent="0.25">
      <c r="C28" s="35" t="s">
        <v>56</v>
      </c>
      <c r="F28" s="103">
        <v>6.9000000000000006E-2</v>
      </c>
    </row>
    <row r="29" spans="3:6" x14ac:dyDescent="0.25">
      <c r="C29" s="35" t="s">
        <v>297</v>
      </c>
      <c r="F29" s="102">
        <v>0.34</v>
      </c>
    </row>
    <row r="30" spans="3:6" x14ac:dyDescent="0.25">
      <c r="C30" s="35" t="s">
        <v>298</v>
      </c>
      <c r="F30" s="101">
        <v>82500</v>
      </c>
    </row>
    <row r="31" spans="3:6" x14ac:dyDescent="0.25">
      <c r="C31" s="35" t="s">
        <v>299</v>
      </c>
      <c r="F31" s="101">
        <v>300000</v>
      </c>
    </row>
    <row r="32" spans="3:6" x14ac:dyDescent="0.25">
      <c r="C32" s="35" t="s">
        <v>300</v>
      </c>
      <c r="F32" s="101">
        <v>80000</v>
      </c>
    </row>
    <row r="33" spans="3:12" ht="7.5" customHeight="1" thickBot="1" x14ac:dyDescent="0.3">
      <c r="C33" s="36"/>
      <c r="D33" s="25"/>
      <c r="E33" s="25"/>
      <c r="F33" s="37"/>
    </row>
    <row r="34" spans="3:12" x14ac:dyDescent="0.25">
      <c r="C34" s="35"/>
      <c r="F34" s="101"/>
    </row>
    <row r="35" spans="3:12" ht="21.75" thickBot="1" x14ac:dyDescent="0.4">
      <c r="C35" s="149" t="s">
        <v>22</v>
      </c>
      <c r="D35" s="149"/>
      <c r="E35" s="149"/>
      <c r="F35" s="149"/>
    </row>
    <row r="36" spans="3:12" ht="19.5" customHeight="1" thickBot="1" x14ac:dyDescent="0.3">
      <c r="C36" s="132"/>
      <c r="D36" s="110">
        <v>2016</v>
      </c>
      <c r="E36" s="110">
        <v>2017</v>
      </c>
      <c r="F36" s="110">
        <v>2018</v>
      </c>
    </row>
    <row r="37" spans="3:12" ht="17.25" customHeight="1" x14ac:dyDescent="0.25">
      <c r="C37" s="31" t="s">
        <v>17</v>
      </c>
      <c r="D37" s="22">
        <v>3500000</v>
      </c>
      <c r="E37" s="22">
        <v>3685000</v>
      </c>
      <c r="F37" s="42">
        <f>E37*(1+F26)</f>
        <v>3500750</v>
      </c>
    </row>
    <row r="38" spans="3:12" ht="17.25" x14ac:dyDescent="0.4">
      <c r="C38" s="34" t="s">
        <v>23</v>
      </c>
      <c r="D38" s="83">
        <v>2300000</v>
      </c>
      <c r="E38" s="83">
        <v>2585000</v>
      </c>
      <c r="F38" s="83">
        <f>$F$37*J38*0.85</f>
        <v>2021403.2142857143</v>
      </c>
      <c r="H38" s="47">
        <f>D38/D$37</f>
        <v>0.65714285714285714</v>
      </c>
      <c r="I38" s="47">
        <f>E38/E$37</f>
        <v>0.70149253731343286</v>
      </c>
      <c r="J38" s="49">
        <f>AVERAGE(H38:I38)</f>
        <v>0.67931769722814495</v>
      </c>
      <c r="L38" s="113"/>
    </row>
    <row r="39" spans="3:12" x14ac:dyDescent="0.25">
      <c r="C39" s="32" t="s">
        <v>24</v>
      </c>
      <c r="D39" s="22">
        <f>D37-D38</f>
        <v>1200000</v>
      </c>
      <c r="E39" s="22">
        <f>E37-E38</f>
        <v>1100000</v>
      </c>
      <c r="F39" s="22">
        <f>F37-F38</f>
        <v>1479346.7857142857</v>
      </c>
    </row>
    <row r="40" spans="3:12" x14ac:dyDescent="0.25">
      <c r="C40" s="31" t="s">
        <v>25</v>
      </c>
      <c r="D40" s="22">
        <v>750000</v>
      </c>
      <c r="E40" s="22">
        <v>790000</v>
      </c>
      <c r="F40" s="22">
        <f>$F$37*J40</f>
        <v>750330.35714285716</v>
      </c>
      <c r="G40" s="24"/>
      <c r="H40" s="47">
        <f>D40/D$37</f>
        <v>0.21428571428571427</v>
      </c>
      <c r="I40" s="47">
        <f>E40/E$37</f>
        <v>0.21438263229308005</v>
      </c>
      <c r="J40" s="49">
        <f>AVERAGE(H40:I40)</f>
        <v>0.21433417328939716</v>
      </c>
    </row>
    <row r="41" spans="3:12" x14ac:dyDescent="0.25">
      <c r="C41" s="31" t="s">
        <v>26</v>
      </c>
      <c r="D41" s="22">
        <v>140000</v>
      </c>
      <c r="E41" s="22">
        <v>145000</v>
      </c>
      <c r="F41" s="139">
        <v>145000</v>
      </c>
    </row>
    <row r="42" spans="3:12" ht="17.25" x14ac:dyDescent="0.4">
      <c r="C42" s="34" t="s">
        <v>27</v>
      </c>
      <c r="D42" s="83">
        <v>55000</v>
      </c>
      <c r="E42" s="83">
        <v>52500</v>
      </c>
      <c r="F42" s="83">
        <f>E42+F32</f>
        <v>132500</v>
      </c>
    </row>
    <row r="43" spans="3:12" x14ac:dyDescent="0.25">
      <c r="C43" s="32" t="s">
        <v>28</v>
      </c>
      <c r="D43" s="22">
        <f>D39-D40-D41-D42</f>
        <v>255000</v>
      </c>
      <c r="E43" s="22">
        <f>E39-E40-E41-E42</f>
        <v>112500</v>
      </c>
      <c r="F43" s="22">
        <f>F39-F40-F41-F42</f>
        <v>451516.42857142852</v>
      </c>
    </row>
    <row r="44" spans="3:12" ht="17.25" x14ac:dyDescent="0.4">
      <c r="C44" s="34" t="s">
        <v>29</v>
      </c>
      <c r="D44" s="83">
        <v>25000</v>
      </c>
      <c r="E44" s="83">
        <v>26250</v>
      </c>
      <c r="F44" s="83">
        <f>F27*E61+F28*E64</f>
        <v>14015.130000000001</v>
      </c>
    </row>
    <row r="45" spans="3:12" x14ac:dyDescent="0.25">
      <c r="C45" s="32" t="s">
        <v>30</v>
      </c>
      <c r="D45" s="22">
        <f>D43-D44</f>
        <v>230000</v>
      </c>
      <c r="E45" s="22">
        <f>E43-E44</f>
        <v>86250</v>
      </c>
      <c r="F45" s="22">
        <f>F43-F44</f>
        <v>437501.29857142852</v>
      </c>
    </row>
    <row r="46" spans="3:12" ht="17.25" x14ac:dyDescent="0.4">
      <c r="C46" s="34" t="s">
        <v>31</v>
      </c>
      <c r="D46" s="83">
        <f>D45*0.35</f>
        <v>80500</v>
      </c>
      <c r="E46" s="83">
        <f>E45*0.35</f>
        <v>30187.499999999996</v>
      </c>
      <c r="F46" s="83">
        <f>F45*F29</f>
        <v>148750.44151428572</v>
      </c>
    </row>
    <row r="47" spans="3:12" ht="15.75" thickBot="1" x14ac:dyDescent="0.3">
      <c r="C47" s="33" t="s">
        <v>19</v>
      </c>
      <c r="D47" s="25">
        <f>D45-D46</f>
        <v>149500</v>
      </c>
      <c r="E47" s="25">
        <f>E45-E46</f>
        <v>56062.5</v>
      </c>
      <c r="F47" s="25">
        <f>F45-F46</f>
        <v>288750.85705714277</v>
      </c>
    </row>
    <row r="48" spans="3:12" ht="7.5" customHeight="1" x14ac:dyDescent="0.25">
      <c r="C48" s="105"/>
      <c r="D48" s="113"/>
      <c r="E48" s="113"/>
      <c r="F48" s="113"/>
    </row>
    <row r="49" spans="2:10" ht="21.75" thickBot="1" x14ac:dyDescent="0.4">
      <c r="B49" s="149" t="s">
        <v>32</v>
      </c>
      <c r="C49" s="149"/>
      <c r="D49" s="149"/>
      <c r="E49" s="149"/>
      <c r="F49" s="149"/>
    </row>
    <row r="50" spans="2:10" ht="15.75" thickBot="1" x14ac:dyDescent="0.3">
      <c r="B50" s="141" t="s">
        <v>33</v>
      </c>
      <c r="C50" s="141"/>
      <c r="D50" s="110">
        <v>2016</v>
      </c>
      <c r="E50" s="110">
        <v>2017</v>
      </c>
      <c r="F50" s="110">
        <v>2018</v>
      </c>
    </row>
    <row r="51" spans="2:10" x14ac:dyDescent="0.25">
      <c r="B51" s="27" t="s">
        <v>34</v>
      </c>
      <c r="D51" s="22">
        <v>96500</v>
      </c>
      <c r="E51" s="22">
        <v>106513</v>
      </c>
      <c r="F51" s="139">
        <v>106513</v>
      </c>
    </row>
    <row r="52" spans="2:10" x14ac:dyDescent="0.25">
      <c r="B52" s="27" t="s">
        <v>35</v>
      </c>
      <c r="D52" s="22">
        <f>146000+183150</f>
        <v>329150</v>
      </c>
      <c r="E52" s="22">
        <f>125000+273315</f>
        <v>398315</v>
      </c>
      <c r="F52" s="22">
        <f>$F$37*J52</f>
        <v>353809.89107142854</v>
      </c>
      <c r="H52" s="47">
        <f>D52/D$37</f>
        <v>9.4042857142857136E-2</v>
      </c>
      <c r="I52" s="47">
        <f>E52/E$37</f>
        <v>0.10809090909090908</v>
      </c>
      <c r="J52" s="49">
        <f>AVERAGE(H52:I52)</f>
        <v>0.10106688311688311</v>
      </c>
    </row>
    <row r="53" spans="2:10" ht="17.25" x14ac:dyDescent="0.4">
      <c r="B53" s="27" t="s">
        <v>36</v>
      </c>
      <c r="D53" s="83">
        <v>265000</v>
      </c>
      <c r="E53" s="83">
        <v>280000</v>
      </c>
      <c r="F53" s="83">
        <f>$F$37*J53</f>
        <v>265528.39285714284</v>
      </c>
      <c r="H53" s="47">
        <f>D53/D$37</f>
        <v>7.571428571428572E-2</v>
      </c>
      <c r="I53" s="47">
        <f>E53/E$37</f>
        <v>7.5983717774762552E-2</v>
      </c>
      <c r="J53" s="49">
        <f>AVERAGE(H53:I53)</f>
        <v>7.5849001744524136E-2</v>
      </c>
    </row>
    <row r="54" spans="2:10" x14ac:dyDescent="0.25">
      <c r="B54" s="28" t="s">
        <v>37</v>
      </c>
      <c r="D54" s="22">
        <f>D51+D52+D53</f>
        <v>690650</v>
      </c>
      <c r="E54" s="22">
        <f>E51+E52+E53</f>
        <v>784828</v>
      </c>
      <c r="F54" s="22">
        <f>SUM(F51:F53)</f>
        <v>725851.28392857139</v>
      </c>
    </row>
    <row r="55" spans="2:10" x14ac:dyDescent="0.25">
      <c r="B55" s="27" t="s">
        <v>38</v>
      </c>
      <c r="D55" s="22">
        <v>1050000</v>
      </c>
      <c r="E55" s="22">
        <v>1050000</v>
      </c>
      <c r="F55" s="22">
        <f>E55+F31</f>
        <v>1350000</v>
      </c>
    </row>
    <row r="56" spans="2:10" ht="17.25" x14ac:dyDescent="0.4">
      <c r="B56" s="27" t="s">
        <v>39</v>
      </c>
      <c r="D56" s="83">
        <v>540000</v>
      </c>
      <c r="E56" s="83">
        <f>D56+E42</f>
        <v>592500</v>
      </c>
      <c r="F56" s="83">
        <f>E56+F42</f>
        <v>725000</v>
      </c>
    </row>
    <row r="57" spans="2:10" ht="17.25" x14ac:dyDescent="0.4">
      <c r="B57" s="28" t="s">
        <v>40</v>
      </c>
      <c r="D57" s="83">
        <f>D55-D56</f>
        <v>510000</v>
      </c>
      <c r="E57" s="83">
        <f>E55-E56</f>
        <v>457500</v>
      </c>
      <c r="F57" s="83">
        <f>F55-F56</f>
        <v>625000</v>
      </c>
    </row>
    <row r="58" spans="2:10" ht="15.75" thickBot="1" x14ac:dyDescent="0.3">
      <c r="B58" s="28" t="s">
        <v>41</v>
      </c>
      <c r="D58" s="22">
        <f>D54+D57</f>
        <v>1200650</v>
      </c>
      <c r="E58" s="22">
        <f>E54+E57</f>
        <v>1242328</v>
      </c>
      <c r="F58" s="22">
        <f>F54+F57</f>
        <v>1350851.2839285713</v>
      </c>
    </row>
    <row r="59" spans="2:10" ht="16.149999999999999" customHeight="1" x14ac:dyDescent="0.25">
      <c r="B59" s="26" t="s">
        <v>42</v>
      </c>
      <c r="C59" s="26"/>
      <c r="D59" s="23"/>
      <c r="E59" s="23"/>
      <c r="F59" s="23"/>
    </row>
    <row r="60" spans="2:10" x14ac:dyDescent="0.25">
      <c r="B60" s="27" t="s">
        <v>43</v>
      </c>
      <c r="D60" s="22">
        <v>225000</v>
      </c>
      <c r="E60" s="22">
        <v>232000</v>
      </c>
      <c r="F60" s="22">
        <f>$F$37*J60</f>
        <v>222724.10714285713</v>
      </c>
      <c r="H60" s="47">
        <f>D60/D$37</f>
        <v>6.4285714285714279E-2</v>
      </c>
      <c r="I60" s="47">
        <f>E60/E$37</f>
        <v>6.2957937584803253E-2</v>
      </c>
      <c r="J60" s="49">
        <f>AVERAGE(H60:I60)</f>
        <v>6.3621825935258766E-2</v>
      </c>
    </row>
    <row r="61" spans="2:10" x14ac:dyDescent="0.25">
      <c r="B61" s="27" t="s">
        <v>44</v>
      </c>
      <c r="D61" s="22">
        <v>85650</v>
      </c>
      <c r="E61" s="22">
        <v>87265</v>
      </c>
      <c r="F61" s="139">
        <v>72500</v>
      </c>
    </row>
    <row r="62" spans="2:10" ht="17.25" x14ac:dyDescent="0.4">
      <c r="B62" s="27" t="s">
        <v>45</v>
      </c>
      <c r="D62" s="83">
        <v>45000</v>
      </c>
      <c r="E62" s="83">
        <v>62000</v>
      </c>
      <c r="F62" s="140">
        <v>65000</v>
      </c>
    </row>
    <row r="63" spans="2:10" x14ac:dyDescent="0.25">
      <c r="B63" s="28" t="s">
        <v>46</v>
      </c>
      <c r="D63" s="22">
        <f>D60+D61+D62</f>
        <v>355650</v>
      </c>
      <c r="E63" s="22">
        <f>E60+E61+E62</f>
        <v>381265</v>
      </c>
      <c r="F63" s="22">
        <f>SUM(F60:F62)</f>
        <v>360224.10714285716</v>
      </c>
    </row>
    <row r="64" spans="2:10" ht="17.25" x14ac:dyDescent="0.4">
      <c r="B64" s="27" t="s">
        <v>47</v>
      </c>
      <c r="D64" s="83">
        <v>150000</v>
      </c>
      <c r="E64" s="83">
        <v>150000</v>
      </c>
      <c r="F64" s="140">
        <v>150000</v>
      </c>
    </row>
    <row r="65" spans="2:6" x14ac:dyDescent="0.25">
      <c r="B65" s="28" t="s">
        <v>48</v>
      </c>
      <c r="D65" s="22">
        <f>D63+D64</f>
        <v>505650</v>
      </c>
      <c r="E65" s="22">
        <f>E63+E64</f>
        <v>531265</v>
      </c>
      <c r="F65" s="22">
        <f>F63+F64</f>
        <v>510224.10714285716</v>
      </c>
    </row>
    <row r="66" spans="2:6" x14ac:dyDescent="0.25">
      <c r="B66" s="27" t="s">
        <v>49</v>
      </c>
      <c r="D66" s="22">
        <v>350000</v>
      </c>
      <c r="E66" s="22">
        <v>350000</v>
      </c>
      <c r="F66" s="139">
        <v>350000</v>
      </c>
    </row>
    <row r="67" spans="2:6" ht="17.25" x14ac:dyDescent="0.4">
      <c r="B67" s="27" t="s">
        <v>50</v>
      </c>
      <c r="D67" s="83">
        <v>345000</v>
      </c>
      <c r="E67" s="83">
        <f>D67+E47-40000</f>
        <v>361062.5</v>
      </c>
      <c r="F67" s="83">
        <f>E67+F47-F30</f>
        <v>567313.35705714277</v>
      </c>
    </row>
    <row r="68" spans="2:6" ht="17.25" x14ac:dyDescent="0.4">
      <c r="B68" s="28" t="s">
        <v>51</v>
      </c>
      <c r="D68" s="83">
        <f>D66+D67</f>
        <v>695000</v>
      </c>
      <c r="E68" s="83">
        <f>E66+E67</f>
        <v>711062.5</v>
      </c>
      <c r="F68" s="83">
        <f>F66+F67</f>
        <v>917313.35705714277</v>
      </c>
    </row>
    <row r="69" spans="2:6" ht="15.75" thickBot="1" x14ac:dyDescent="0.3">
      <c r="B69" s="29" t="s">
        <v>52</v>
      </c>
      <c r="C69" s="30"/>
      <c r="D69" s="25">
        <f>D65+D68</f>
        <v>1200650</v>
      </c>
      <c r="E69" s="25">
        <f>E65+E68</f>
        <v>1242327.5</v>
      </c>
      <c r="F69" s="25">
        <f>F65+F68</f>
        <v>1427537.4641999998</v>
      </c>
    </row>
    <row r="70" spans="2:6" ht="6" customHeight="1" x14ac:dyDescent="0.25"/>
    <row r="71" spans="2:6" ht="4.5" customHeight="1" thickBot="1" x14ac:dyDescent="0.3"/>
    <row r="72" spans="2:6" ht="15.75" thickBot="1" x14ac:dyDescent="0.3">
      <c r="C72" s="21" t="s">
        <v>301</v>
      </c>
      <c r="F72" s="20">
        <f>F69-F58</f>
        <v>76686.180271428544</v>
      </c>
    </row>
    <row r="73" spans="2:6" ht="10.5" customHeight="1" thickBot="1" x14ac:dyDescent="0.3">
      <c r="B73" s="30"/>
      <c r="C73" s="30"/>
      <c r="D73" s="25"/>
      <c r="E73" s="25"/>
      <c r="F73" s="25"/>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94"/>
  <sheetViews>
    <sheetView workbookViewId="0"/>
  </sheetViews>
  <sheetFormatPr defaultColWidth="9.140625" defaultRowHeight="15" x14ac:dyDescent="0.25"/>
  <cols>
    <col min="1" max="1" width="3" style="113" customWidth="1"/>
    <col min="2" max="2" width="9.140625" style="113"/>
    <col min="3" max="3" width="3.7109375" style="113" customWidth="1"/>
    <col min="4" max="4" width="3.28515625" style="113" customWidth="1"/>
    <col min="5" max="5" width="72.28515625" style="113" customWidth="1"/>
    <col min="6" max="6" width="11.42578125" style="113" bestFit="1" customWidth="1"/>
    <col min="7" max="7" width="12.140625" style="113" bestFit="1" customWidth="1"/>
    <col min="8" max="11" width="9.140625" style="113"/>
    <col min="12" max="12" width="9.42578125" style="113" bestFit="1" customWidth="1"/>
    <col min="13" max="13" width="11.7109375" style="113" customWidth="1"/>
    <col min="14" max="14" width="10.7109375" style="113" customWidth="1"/>
    <col min="15" max="16384" width="9.140625" style="113"/>
  </cols>
  <sheetData>
    <row r="2" spans="2:13" ht="18.75" x14ac:dyDescent="0.25">
      <c r="B2" s="106"/>
      <c r="E2" s="107" t="s">
        <v>212</v>
      </c>
    </row>
    <row r="3" spans="2:13" x14ac:dyDescent="0.25">
      <c r="B3" s="106"/>
      <c r="E3" s="108" t="s">
        <v>268</v>
      </c>
    </row>
    <row r="4" spans="2:13" x14ac:dyDescent="0.25">
      <c r="B4" s="106"/>
    </row>
    <row r="5" spans="2:13" x14ac:dyDescent="0.25">
      <c r="B5" s="106"/>
      <c r="E5" s="105" t="s">
        <v>125</v>
      </c>
    </row>
    <row r="6" spans="2:13" x14ac:dyDescent="0.25">
      <c r="E6" s="105" t="s">
        <v>126</v>
      </c>
    </row>
    <row r="7" spans="2:13" ht="15.75" thickBot="1" x14ac:dyDescent="0.3"/>
    <row r="8" spans="2:13" ht="15.75" thickBot="1" x14ac:dyDescent="0.3">
      <c r="B8" s="111" t="b">
        <v>1</v>
      </c>
      <c r="C8" s="112" t="s">
        <v>0</v>
      </c>
      <c r="D8" s="112"/>
      <c r="E8" s="150" t="s">
        <v>203</v>
      </c>
      <c r="L8" s="100"/>
      <c r="M8" s="100"/>
    </row>
    <row r="9" spans="2:13" ht="30.6" customHeight="1" x14ac:dyDescent="0.25">
      <c r="E9" s="150"/>
      <c r="L9" s="100"/>
      <c r="M9" s="100"/>
    </row>
    <row r="10" spans="2:13" ht="15.75" thickBot="1" x14ac:dyDescent="0.3">
      <c r="L10" s="100"/>
      <c r="M10" s="100"/>
    </row>
    <row r="11" spans="2:13" ht="18" customHeight="1" thickBot="1" x14ac:dyDescent="0.3">
      <c r="B11" s="111" t="b">
        <v>1</v>
      </c>
      <c r="C11" s="112" t="s">
        <v>1</v>
      </c>
      <c r="D11" s="112"/>
      <c r="E11" s="150" t="s">
        <v>261</v>
      </c>
      <c r="L11" s="100"/>
      <c r="M11" s="100"/>
    </row>
    <row r="12" spans="2:13" ht="18" customHeight="1" x14ac:dyDescent="0.25">
      <c r="E12" s="150"/>
      <c r="L12" s="100"/>
      <c r="M12" s="100"/>
    </row>
    <row r="13" spans="2:13" ht="15.75" thickBot="1" x14ac:dyDescent="0.3">
      <c r="L13" s="100"/>
      <c r="M13" s="100"/>
    </row>
    <row r="14" spans="2:13" ht="18" customHeight="1" thickBot="1" x14ac:dyDescent="0.3">
      <c r="B14" s="111" t="b">
        <v>0</v>
      </c>
      <c r="C14" s="112" t="s">
        <v>6</v>
      </c>
      <c r="D14" s="112"/>
      <c r="E14" s="150" t="s">
        <v>262</v>
      </c>
      <c r="L14" s="100"/>
      <c r="M14" s="100"/>
    </row>
    <row r="15" spans="2:13" x14ac:dyDescent="0.25">
      <c r="E15" s="150"/>
      <c r="L15" s="100"/>
      <c r="M15" s="100"/>
    </row>
    <row r="16" spans="2:13" ht="15.75" thickBot="1" x14ac:dyDescent="0.3">
      <c r="L16" s="100"/>
      <c r="M16" s="100"/>
    </row>
    <row r="17" spans="2:13" ht="15" customHeight="1" thickBot="1" x14ac:dyDescent="0.3">
      <c r="B17" s="111" t="b">
        <v>1</v>
      </c>
      <c r="C17" s="112" t="s">
        <v>7</v>
      </c>
      <c r="D17" s="112"/>
      <c r="E17" s="150" t="s">
        <v>263</v>
      </c>
      <c r="L17" s="100"/>
      <c r="M17" s="100"/>
    </row>
    <row r="18" spans="2:13" ht="25.9" customHeight="1" thickBot="1" x14ac:dyDescent="0.3">
      <c r="E18" s="150"/>
      <c r="L18" s="100"/>
      <c r="M18" s="100"/>
    </row>
    <row r="19" spans="2:13" ht="16.5" customHeight="1" thickBot="1" x14ac:dyDescent="0.3">
      <c r="B19" s="111" t="b">
        <v>1</v>
      </c>
      <c r="C19" s="112" t="s">
        <v>127</v>
      </c>
      <c r="D19" s="112"/>
      <c r="E19" s="150" t="s">
        <v>245</v>
      </c>
    </row>
    <row r="20" spans="2:13" ht="16.5" customHeight="1" x14ac:dyDescent="0.25">
      <c r="E20" s="150"/>
    </row>
    <row r="21" spans="2:13" ht="15.75" thickBot="1" x14ac:dyDescent="0.3"/>
    <row r="22" spans="2:13" ht="15.75" thickBot="1" x14ac:dyDescent="0.3">
      <c r="B22" s="111" t="s">
        <v>269</v>
      </c>
      <c r="C22" s="112" t="s">
        <v>128</v>
      </c>
      <c r="D22" s="112"/>
      <c r="E22" s="150" t="s">
        <v>204</v>
      </c>
    </row>
    <row r="23" spans="2:13" x14ac:dyDescent="0.25">
      <c r="E23" s="150"/>
    </row>
    <row r="24" spans="2:13" x14ac:dyDescent="0.25">
      <c r="D24" s="113" t="s">
        <v>129</v>
      </c>
      <c r="E24" s="113" t="s">
        <v>264</v>
      </c>
    </row>
    <row r="25" spans="2:13" x14ac:dyDescent="0.25">
      <c r="D25" s="113" t="s">
        <v>130</v>
      </c>
      <c r="E25" s="113" t="s">
        <v>206</v>
      </c>
    </row>
    <row r="26" spans="2:13" x14ac:dyDescent="0.25">
      <c r="D26" s="113" t="s">
        <v>131</v>
      </c>
      <c r="E26" s="113" t="s">
        <v>205</v>
      </c>
    </row>
    <row r="27" spans="2:13" x14ac:dyDescent="0.25">
      <c r="D27" s="113" t="s">
        <v>132</v>
      </c>
      <c r="E27" s="113" t="s">
        <v>207</v>
      </c>
    </row>
    <row r="28" spans="2:13" x14ac:dyDescent="0.25">
      <c r="D28" s="113" t="s">
        <v>133</v>
      </c>
      <c r="E28" s="113" t="s">
        <v>134</v>
      </c>
    </row>
    <row r="29" spans="2:13" ht="15.75" thickBot="1" x14ac:dyDescent="0.3"/>
    <row r="30" spans="2:13" ht="18.75" customHeight="1" thickBot="1" x14ac:dyDescent="0.3">
      <c r="B30" s="111" t="b">
        <v>0</v>
      </c>
      <c r="C30" s="112" t="s">
        <v>135</v>
      </c>
      <c r="D30" s="112"/>
      <c r="E30" s="150" t="s">
        <v>270</v>
      </c>
    </row>
    <row r="31" spans="2:13" ht="23.45" customHeight="1" x14ac:dyDescent="0.25">
      <c r="E31" s="150"/>
    </row>
    <row r="32" spans="2:13" ht="15.75" thickBot="1" x14ac:dyDescent="0.3"/>
    <row r="33" spans="2:5" ht="15.75" thickBot="1" x14ac:dyDescent="0.3">
      <c r="B33" s="111" t="s">
        <v>214</v>
      </c>
      <c r="C33" s="112" t="s">
        <v>136</v>
      </c>
      <c r="D33" s="112"/>
      <c r="E33" s="150" t="s">
        <v>250</v>
      </c>
    </row>
    <row r="34" spans="2:5" ht="44.25" customHeight="1" x14ac:dyDescent="0.25">
      <c r="E34" s="150"/>
    </row>
    <row r="35" spans="2:5" x14ac:dyDescent="0.25">
      <c r="D35" s="113" t="s">
        <v>129</v>
      </c>
      <c r="E35" s="113" t="s">
        <v>208</v>
      </c>
    </row>
    <row r="36" spans="2:5" x14ac:dyDescent="0.25">
      <c r="D36" s="113" t="s">
        <v>130</v>
      </c>
      <c r="E36" s="113" t="s">
        <v>209</v>
      </c>
    </row>
    <row r="37" spans="2:5" x14ac:dyDescent="0.25">
      <c r="D37" s="113" t="s">
        <v>131</v>
      </c>
      <c r="E37" s="113" t="s">
        <v>265</v>
      </c>
    </row>
    <row r="38" spans="2:5" x14ac:dyDescent="0.25">
      <c r="D38" s="113" t="s">
        <v>132</v>
      </c>
      <c r="E38" s="113" t="s">
        <v>23</v>
      </c>
    </row>
    <row r="39" spans="2:5" x14ac:dyDescent="0.25">
      <c r="D39" s="113" t="s">
        <v>133</v>
      </c>
      <c r="E39" s="113" t="s">
        <v>210</v>
      </c>
    </row>
    <row r="40" spans="2:5" ht="15.75" thickBot="1" x14ac:dyDescent="0.3"/>
    <row r="41" spans="2:5" ht="20.25" customHeight="1" thickBot="1" x14ac:dyDescent="0.3">
      <c r="B41" s="111" t="b">
        <v>1</v>
      </c>
      <c r="C41" s="112" t="s">
        <v>137</v>
      </c>
      <c r="D41" s="112"/>
      <c r="E41" s="131" t="s">
        <v>249</v>
      </c>
    </row>
    <row r="42" spans="2:5" ht="41.25" customHeight="1" x14ac:dyDescent="0.25">
      <c r="E42" s="131" t="s">
        <v>276</v>
      </c>
    </row>
    <row r="43" spans="2:5" ht="15.75" thickBot="1" x14ac:dyDescent="0.3">
      <c r="E43" s="122"/>
    </row>
    <row r="44" spans="2:5" ht="15.75" thickBot="1" x14ac:dyDescent="0.3">
      <c r="B44" s="111" t="s">
        <v>274</v>
      </c>
      <c r="C44" s="112" t="s">
        <v>138</v>
      </c>
      <c r="E44" s="114" t="s">
        <v>273</v>
      </c>
    </row>
    <row r="45" spans="2:5" x14ac:dyDescent="0.25">
      <c r="E45" s="114"/>
    </row>
    <row r="46" spans="2:5" x14ac:dyDescent="0.25">
      <c r="D46" s="113" t="s">
        <v>129</v>
      </c>
      <c r="E46" s="114" t="s">
        <v>247</v>
      </c>
    </row>
    <row r="47" spans="2:5" x14ac:dyDescent="0.25">
      <c r="D47" s="113" t="s">
        <v>130</v>
      </c>
      <c r="E47" s="122" t="s">
        <v>246</v>
      </c>
    </row>
    <row r="48" spans="2:5" x14ac:dyDescent="0.25">
      <c r="D48" s="113" t="s">
        <v>131</v>
      </c>
      <c r="E48" s="122" t="s">
        <v>234</v>
      </c>
    </row>
    <row r="49" spans="2:5" x14ac:dyDescent="0.25">
      <c r="D49" s="113" t="s">
        <v>132</v>
      </c>
      <c r="E49" s="122" t="s">
        <v>248</v>
      </c>
    </row>
    <row r="50" spans="2:5" x14ac:dyDescent="0.25">
      <c r="D50" s="113" t="s">
        <v>133</v>
      </c>
      <c r="E50" s="122" t="s">
        <v>235</v>
      </c>
    </row>
    <row r="51" spans="2:5" ht="15.75" thickBot="1" x14ac:dyDescent="0.3">
      <c r="E51" s="114"/>
    </row>
    <row r="52" spans="2:5" ht="15.75" thickBot="1" x14ac:dyDescent="0.3">
      <c r="B52" s="111" t="s">
        <v>275</v>
      </c>
      <c r="C52" s="112" t="s">
        <v>236</v>
      </c>
      <c r="E52" s="114" t="s">
        <v>272</v>
      </c>
    </row>
    <row r="53" spans="2:5" x14ac:dyDescent="0.25">
      <c r="E53" s="114"/>
    </row>
    <row r="54" spans="2:5" x14ac:dyDescent="0.25">
      <c r="D54" s="113" t="s">
        <v>129</v>
      </c>
      <c r="E54" s="114" t="s">
        <v>247</v>
      </c>
    </row>
    <row r="55" spans="2:5" x14ac:dyDescent="0.25">
      <c r="D55" s="113" t="s">
        <v>130</v>
      </c>
      <c r="E55" s="114" t="s">
        <v>246</v>
      </c>
    </row>
    <row r="56" spans="2:5" x14ac:dyDescent="0.25">
      <c r="D56" s="113" t="s">
        <v>131</v>
      </c>
      <c r="E56" s="114" t="s">
        <v>234</v>
      </c>
    </row>
    <row r="57" spans="2:5" x14ac:dyDescent="0.25">
      <c r="D57" s="113" t="s">
        <v>132</v>
      </c>
      <c r="E57" s="114" t="s">
        <v>248</v>
      </c>
    </row>
    <row r="58" spans="2:5" x14ac:dyDescent="0.25">
      <c r="D58" s="113" t="s">
        <v>133</v>
      </c>
      <c r="E58" s="114" t="s">
        <v>266</v>
      </c>
    </row>
    <row r="59" spans="2:5" ht="15.75" thickBot="1" x14ac:dyDescent="0.3">
      <c r="E59" s="114"/>
    </row>
    <row r="60" spans="2:5" ht="15.75" thickBot="1" x14ac:dyDescent="0.3">
      <c r="B60" s="111" t="b">
        <v>1</v>
      </c>
      <c r="C60" s="112" t="s">
        <v>237</v>
      </c>
      <c r="D60" s="112"/>
      <c r="E60" s="150" t="s">
        <v>251</v>
      </c>
    </row>
    <row r="61" spans="2:5" ht="18" customHeight="1" x14ac:dyDescent="0.25">
      <c r="E61" s="150"/>
    </row>
    <row r="62" spans="2:5" ht="15.75" thickBot="1" x14ac:dyDescent="0.3">
      <c r="E62" s="114"/>
    </row>
    <row r="63" spans="2:5" ht="15.75" thickBot="1" x14ac:dyDescent="0.3">
      <c r="B63" s="111" t="b">
        <v>1</v>
      </c>
      <c r="C63" s="112" t="s">
        <v>238</v>
      </c>
      <c r="D63" s="112"/>
      <c r="E63" s="150" t="s">
        <v>267</v>
      </c>
    </row>
    <row r="64" spans="2:5" x14ac:dyDescent="0.25">
      <c r="E64" s="150"/>
    </row>
    <row r="65" spans="1:8" ht="15.75" thickBot="1" x14ac:dyDescent="0.3">
      <c r="E65" s="114"/>
    </row>
    <row r="66" spans="1:8" ht="15.75" thickBot="1" x14ac:dyDescent="0.3">
      <c r="B66" s="111" t="b">
        <v>1</v>
      </c>
      <c r="C66" s="112" t="s">
        <v>239</v>
      </c>
      <c r="D66" s="112"/>
      <c r="E66" s="150" t="s">
        <v>271</v>
      </c>
    </row>
    <row r="67" spans="1:8" x14ac:dyDescent="0.25">
      <c r="E67" s="150"/>
    </row>
    <row r="68" spans="1:8" ht="15.75" thickBot="1" x14ac:dyDescent="0.3">
      <c r="E68" s="114"/>
    </row>
    <row r="69" spans="1:8" ht="15.75" thickBot="1" x14ac:dyDescent="0.3">
      <c r="B69" s="111" t="b">
        <v>0</v>
      </c>
      <c r="C69" s="112" t="s">
        <v>240</v>
      </c>
      <c r="D69" s="112"/>
      <c r="E69" s="150" t="s">
        <v>241</v>
      </c>
    </row>
    <row r="70" spans="1:8" x14ac:dyDescent="0.25">
      <c r="E70" s="150"/>
    </row>
    <row r="71" spans="1:8" x14ac:dyDescent="0.25">
      <c r="E71" s="114"/>
    </row>
    <row r="72" spans="1:8" x14ac:dyDescent="0.25">
      <c r="E72" s="114"/>
    </row>
    <row r="73" spans="1:8" x14ac:dyDescent="0.25">
      <c r="E73" s="114"/>
    </row>
    <row r="74" spans="1:8" x14ac:dyDescent="0.25">
      <c r="E74" s="114"/>
    </row>
    <row r="75" spans="1:8" x14ac:dyDescent="0.25">
      <c r="E75" s="114"/>
    </row>
    <row r="76" spans="1:8" x14ac:dyDescent="0.25">
      <c r="E76" s="114"/>
    </row>
    <row r="77" spans="1:8" ht="15.75" thickBot="1" x14ac:dyDescent="0.3"/>
    <row r="78" spans="1:8" ht="15.75" thickBot="1" x14ac:dyDescent="0.3">
      <c r="A78" s="151" t="s">
        <v>139</v>
      </c>
      <c r="B78" s="152"/>
      <c r="C78" s="152"/>
      <c r="D78" s="152"/>
      <c r="E78" s="152"/>
      <c r="F78" s="152"/>
      <c r="G78" s="152"/>
      <c r="H78" s="153"/>
    </row>
    <row r="80" spans="1:8" x14ac:dyDescent="0.25">
      <c r="A80" s="113">
        <v>1</v>
      </c>
      <c r="B80" s="70" t="b">
        <f>B8</f>
        <v>1</v>
      </c>
    </row>
    <row r="81" spans="1:2" x14ac:dyDescent="0.25">
      <c r="A81" s="113">
        <v>2</v>
      </c>
      <c r="B81" s="70" t="b">
        <f>B11</f>
        <v>1</v>
      </c>
    </row>
    <row r="82" spans="1:2" x14ac:dyDescent="0.25">
      <c r="A82" s="113">
        <v>3</v>
      </c>
      <c r="B82" s="70" t="b">
        <f>B14</f>
        <v>0</v>
      </c>
    </row>
    <row r="83" spans="1:2" x14ac:dyDescent="0.25">
      <c r="A83" s="113">
        <v>4</v>
      </c>
      <c r="B83" s="70" t="b">
        <f>B17</f>
        <v>1</v>
      </c>
    </row>
    <row r="84" spans="1:2" ht="15.75" thickBot="1" x14ac:dyDescent="0.3">
      <c r="A84" s="69">
        <v>5</v>
      </c>
      <c r="B84" s="78" t="b">
        <f>B19</f>
        <v>1</v>
      </c>
    </row>
    <row r="85" spans="1:2" x14ac:dyDescent="0.25">
      <c r="A85" s="113">
        <v>6</v>
      </c>
      <c r="B85" s="70" t="str">
        <f>B22</f>
        <v>E</v>
      </c>
    </row>
    <row r="86" spans="1:2" x14ac:dyDescent="0.25">
      <c r="A86" s="113">
        <v>7</v>
      </c>
      <c r="B86" s="70" t="b">
        <f>B30</f>
        <v>0</v>
      </c>
    </row>
    <row r="87" spans="1:2" x14ac:dyDescent="0.25">
      <c r="A87" s="113">
        <v>8</v>
      </c>
      <c r="B87" s="70" t="str">
        <f>B33</f>
        <v>C</v>
      </c>
    </row>
    <row r="88" spans="1:2" x14ac:dyDescent="0.25">
      <c r="A88" s="113">
        <v>9</v>
      </c>
      <c r="B88" s="70" t="b">
        <f>B41</f>
        <v>1</v>
      </c>
    </row>
    <row r="89" spans="1:2" ht="15.75" thickBot="1" x14ac:dyDescent="0.3">
      <c r="A89" s="69">
        <v>10</v>
      </c>
      <c r="B89" s="78" t="str">
        <f>B44</f>
        <v>B</v>
      </c>
    </row>
    <row r="90" spans="1:2" x14ac:dyDescent="0.25">
      <c r="A90" s="113">
        <v>11</v>
      </c>
      <c r="B90" s="70" t="str">
        <f>B52</f>
        <v>A</v>
      </c>
    </row>
    <row r="91" spans="1:2" x14ac:dyDescent="0.25">
      <c r="A91" s="113">
        <v>12</v>
      </c>
      <c r="B91" s="70" t="b">
        <f>B60</f>
        <v>1</v>
      </c>
    </row>
    <row r="92" spans="1:2" x14ac:dyDescent="0.25">
      <c r="A92" s="113">
        <v>13</v>
      </c>
      <c r="B92" s="70" t="b">
        <f>B63</f>
        <v>1</v>
      </c>
    </row>
    <row r="93" spans="1:2" x14ac:dyDescent="0.25">
      <c r="A93" s="113">
        <v>14</v>
      </c>
      <c r="B93" s="70" t="b">
        <f>B66</f>
        <v>1</v>
      </c>
    </row>
    <row r="94" spans="1:2" x14ac:dyDescent="0.25">
      <c r="A94" s="113">
        <v>15</v>
      </c>
      <c r="B94" s="70" t="b">
        <f>B69</f>
        <v>0</v>
      </c>
    </row>
  </sheetData>
  <mergeCells count="13">
    <mergeCell ref="E22:E23"/>
    <mergeCell ref="E8:E9"/>
    <mergeCell ref="E11:E12"/>
    <mergeCell ref="E14:E15"/>
    <mergeCell ref="E17:E18"/>
    <mergeCell ref="E19:E20"/>
    <mergeCell ref="E69:E70"/>
    <mergeCell ref="A78:H78"/>
    <mergeCell ref="E30:E31"/>
    <mergeCell ref="E33:E34"/>
    <mergeCell ref="E60:E61"/>
    <mergeCell ref="E63:E64"/>
    <mergeCell ref="E66:E6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P1 - 20 Pts</vt:lpstr>
      <vt:lpstr>P2 - 5 Pts</vt:lpstr>
      <vt:lpstr>P3 - 10 Pts</vt:lpstr>
      <vt:lpstr>P4 10 Pts</vt:lpstr>
      <vt:lpstr>P5 - 20 Pts</vt:lpstr>
      <vt:lpstr>P6 - 15 Pts</vt:lpstr>
      <vt:lpstr>MC-TF 20 Pts</vt:lpstr>
      <vt:lpstr>'P5 - 20 Pts'!OLE_LINK1</vt:lpstr>
      <vt:lpstr>Periods</vt:lpstr>
      <vt:lpstr>Rate</vt:lpstr>
      <vt:lpstr>Term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2015-10-20T18:19:48Z</cp:lastPrinted>
  <dcterms:created xsi:type="dcterms:W3CDTF">2010-01-13T00:10:02Z</dcterms:created>
  <dcterms:modified xsi:type="dcterms:W3CDTF">2018-03-27T19:54:09Z</dcterms:modified>
</cp:coreProperties>
</file>