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dhawley\Ole Miss Business Dropbox\Del Hawley\Class\Spring 2019\Exam 2\"/>
    </mc:Choice>
  </mc:AlternateContent>
  <xr:revisionPtr revIDLastSave="0" documentId="13_ncr:1_{11D9C08C-9629-4908-A2E1-A014AFCC3674}" xr6:coauthVersionLast="41" xr6:coauthVersionMax="41" xr10:uidLastSave="{00000000-0000-0000-0000-000000000000}"/>
  <bookViews>
    <workbookView xWindow="345" yWindow="345" windowWidth="19575" windowHeight="17610" tabRatio="681" xr2:uid="{00000000-000D-0000-FFFF-FFFF00000000}"/>
  </bookViews>
  <sheets>
    <sheet name="INSTRUCTIONS" sheetId="6" r:id="rId1"/>
    <sheet name="P1 - 24 Pts" sheetId="2" r:id="rId2"/>
    <sheet name="P2 - 5 Pts" sheetId="10" r:id="rId3"/>
    <sheet name="P3 - 08 Pts" sheetId="11" r:id="rId4"/>
    <sheet name="P4 08 Pts" sheetId="14" r:id="rId5"/>
    <sheet name="P5 - 20 Pts" sheetId="1" r:id="rId6"/>
    <sheet name="P6 - 15 Pts" sheetId="18" r:id="rId7"/>
    <sheet name="MC-TF 20 Pts" sheetId="19" r:id="rId8"/>
    <sheet name="Sheet1" sheetId="16" r:id="rId9"/>
  </sheets>
  <definedNames>
    <definedName name="OLE_LINK1" localSheetId="5">'P5 - 20 Pts'!$C$65</definedName>
    <definedName name="Periods">'P1 - 24 Pts'!$O$21</definedName>
    <definedName name="Rate">'P1 - 24 Pts'!$F$23</definedName>
    <definedName name="Term">'P1 - 24 Pts'!$F$22</definedName>
  </definedNames>
  <calcPr calcId="191029" iterate="1" iterateDelta="20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 i="18" l="1"/>
  <c r="I6" i="16" l="1"/>
  <c r="I5" i="16"/>
  <c r="G8" i="16"/>
  <c r="G7" i="16"/>
  <c r="G6" i="16"/>
  <c r="G5" i="16"/>
  <c r="E8" i="16"/>
  <c r="E7" i="16"/>
  <c r="E6" i="16"/>
  <c r="E5" i="16"/>
  <c r="C8" i="16"/>
  <c r="C7" i="16"/>
  <c r="C6" i="16"/>
  <c r="C5" i="16"/>
  <c r="E51" i="18" l="1"/>
  <c r="D51" i="18"/>
  <c r="G77" i="1"/>
  <c r="G76" i="1"/>
  <c r="G75" i="1"/>
  <c r="E72" i="1"/>
  <c r="F71" i="1"/>
  <c r="H23" i="11"/>
  <c r="H25" i="11" s="1"/>
  <c r="H27" i="11" s="1"/>
  <c r="H21" i="11"/>
  <c r="D68" i="18" l="1"/>
  <c r="E63" i="18"/>
  <c r="E65" i="18" s="1"/>
  <c r="D63" i="18"/>
  <c r="D65" i="18" s="1"/>
  <c r="I60" i="18"/>
  <c r="H60" i="18"/>
  <c r="D57" i="18"/>
  <c r="E56" i="18"/>
  <c r="E57" i="18" s="1"/>
  <c r="F55" i="18"/>
  <c r="I53" i="18"/>
  <c r="H53" i="18"/>
  <c r="E52" i="18"/>
  <c r="I52" i="18" s="1"/>
  <c r="D52" i="18"/>
  <c r="D54" i="18" s="1"/>
  <c r="F44" i="18"/>
  <c r="F42" i="18"/>
  <c r="I40" i="18"/>
  <c r="H40" i="18"/>
  <c r="E39" i="18"/>
  <c r="E43" i="18" s="1"/>
  <c r="E45" i="18" s="1"/>
  <c r="D39" i="18"/>
  <c r="D43" i="18" s="1"/>
  <c r="D45" i="18" s="1"/>
  <c r="I38" i="18"/>
  <c r="H38" i="18"/>
  <c r="J38" i="18" s="1"/>
  <c r="F37" i="18"/>
  <c r="J53" i="18" l="1"/>
  <c r="F53" i="18" s="1"/>
  <c r="J40" i="18"/>
  <c r="F40" i="18" s="1"/>
  <c r="J60" i="18"/>
  <c r="F60" i="18" s="1"/>
  <c r="F63" i="18" s="1"/>
  <c r="F65" i="18" s="1"/>
  <c r="F39" i="18"/>
  <c r="D69" i="18"/>
  <c r="D58" i="18"/>
  <c r="D72" i="18" s="1"/>
  <c r="F56" i="18"/>
  <c r="F57" i="18" s="1"/>
  <c r="E46" i="18"/>
  <c r="E47" i="18" s="1"/>
  <c r="E67" i="18" s="1"/>
  <c r="D46" i="18"/>
  <c r="D47" i="18" s="1"/>
  <c r="H52" i="18"/>
  <c r="J52" i="18" s="1"/>
  <c r="F52" i="18" s="1"/>
  <c r="E54" i="18"/>
  <c r="E58" i="18" s="1"/>
  <c r="F43" i="18" l="1"/>
  <c r="F45" i="18" s="1"/>
  <c r="F46" i="18" s="1"/>
  <c r="F47" i="18" s="1"/>
  <c r="F67" i="18" s="1"/>
  <c r="F68" i="18" s="1"/>
  <c r="F69" i="18" s="1"/>
  <c r="E68" i="18"/>
  <c r="E69" i="18" s="1"/>
  <c r="E72" i="18" s="1"/>
  <c r="F54" i="18"/>
  <c r="F58" i="18" s="1"/>
  <c r="F72" i="18" l="1"/>
  <c r="E86" i="1" l="1"/>
  <c r="D107" i="1" l="1"/>
  <c r="F73" i="1" l="1"/>
  <c r="E70" i="1"/>
  <c r="D34" i="1" l="1"/>
  <c r="E21" i="1"/>
  <c r="E22" i="1" s="1"/>
  <c r="E23" i="1" s="1"/>
  <c r="E24" i="1" s="1"/>
  <c r="E25" i="1" s="1"/>
  <c r="F74" i="1" l="1"/>
  <c r="I20" i="14"/>
  <c r="I27" i="14" l="1"/>
  <c r="I28" i="14" l="1"/>
  <c r="I21" i="14" l="1"/>
  <c r="I29" i="14"/>
  <c r="I22" i="14" l="1"/>
  <c r="I30" i="14"/>
  <c r="I23" i="14" s="1"/>
  <c r="O20" i="11" l="1"/>
  <c r="F46" i="1" l="1"/>
  <c r="F45" i="1"/>
  <c r="F44" i="1"/>
  <c r="F43" i="1"/>
  <c r="P19" i="11" l="1"/>
  <c r="G19" i="10"/>
  <c r="P20" i="11" l="1"/>
  <c r="O21" i="11"/>
  <c r="G23" i="10"/>
  <c r="G31" i="10" s="1"/>
  <c r="G30" i="2"/>
  <c r="O21" i="2"/>
  <c r="O22" i="11" l="1"/>
  <c r="O23" i="11" s="1"/>
  <c r="O24" i="11" s="1"/>
  <c r="O25" i="11" s="1"/>
  <c r="O26" i="11" s="1"/>
  <c r="O27" i="11" s="1"/>
  <c r="O28" i="11" s="1"/>
  <c r="O29" i="11" s="1"/>
  <c r="O30" i="11" s="1"/>
  <c r="O31" i="11" s="1"/>
  <c r="O32" i="11" s="1"/>
  <c r="O33" i="11" s="1"/>
  <c r="O34" i="11" s="1"/>
  <c r="P21" i="11"/>
  <c r="D31" i="2"/>
  <c r="D35" i="2" s="1"/>
  <c r="H25" i="2"/>
  <c r="E31" i="2"/>
  <c r="D90" i="2"/>
  <c r="D89" i="2"/>
  <c r="D88" i="2"/>
  <c r="D87" i="2"/>
  <c r="D86" i="2"/>
  <c r="D85" i="2"/>
  <c r="D84" i="2"/>
  <c r="D83" i="2"/>
  <c r="D82" i="2"/>
  <c r="D81" i="2"/>
  <c r="D80" i="2"/>
  <c r="D79" i="2"/>
  <c r="O35" i="11" l="1"/>
  <c r="P22" i="11"/>
  <c r="P23" i="11" s="1"/>
  <c r="P24" i="11" s="1"/>
  <c r="P25" i="11" s="1"/>
  <c r="P26" i="11" s="1"/>
  <c r="P27" i="11" s="1"/>
  <c r="P28" i="11" s="1"/>
  <c r="P29" i="11" s="1"/>
  <c r="P30" i="11" s="1"/>
  <c r="P31" i="11" s="1"/>
  <c r="P32" i="11" s="1"/>
  <c r="P33" i="11" s="1"/>
  <c r="P34" i="11" s="1"/>
  <c r="D67" i="2"/>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O36" i="11" l="1"/>
  <c r="O37" i="11" s="1"/>
  <c r="O38" i="11" s="1"/>
  <c r="O39" i="11" s="1"/>
  <c r="O40" i="11" s="1"/>
  <c r="O41" i="11" s="1"/>
  <c r="O42" i="11" s="1"/>
  <c r="O43" i="11" s="1"/>
  <c r="P35" i="11"/>
  <c r="F32" i="2"/>
  <c r="G32" i="2" s="1"/>
  <c r="E33" i="2" s="1"/>
  <c r="F33" i="2" s="1"/>
  <c r="G33" i="2" s="1"/>
  <c r="E34" i="2" s="1"/>
  <c r="F34" i="2" s="1"/>
  <c r="G34" i="2" s="1"/>
  <c r="E35" i="2" s="1"/>
  <c r="F35" i="2" s="1"/>
  <c r="G35" i="2" s="1"/>
  <c r="E36" i="2" s="1"/>
  <c r="F36" i="2" s="1"/>
  <c r="G36" i="2" s="1"/>
  <c r="O44" i="11" l="1"/>
  <c r="O45" i="11" s="1"/>
  <c r="O46" i="11" s="1"/>
  <c r="O47" i="11" s="1"/>
  <c r="O48" i="11" s="1"/>
  <c r="P36" i="11"/>
  <c r="P37" i="11" s="1"/>
  <c r="P38" i="11" s="1"/>
  <c r="P39" i="11" s="1"/>
  <c r="P40" i="11" s="1"/>
  <c r="P41" i="11" s="1"/>
  <c r="P42" i="11" s="1"/>
  <c r="P43" i="11" s="1"/>
  <c r="P44" i="11" s="1"/>
  <c r="P45" i="11" s="1"/>
  <c r="P46" i="11" s="1"/>
  <c r="P47" i="11" s="1"/>
  <c r="P48" i="11" s="1"/>
  <c r="E37" i="2"/>
  <c r="F37" i="2" s="1"/>
  <c r="G37" i="2" s="1"/>
  <c r="P49" i="11" l="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P80" i="11" s="1"/>
  <c r="P81" i="11" s="1"/>
  <c r="E38" i="2"/>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<sst xmlns="http://schemas.openxmlformats.org/spreadsheetml/2006/main" count="365" uniqueCount="319">
  <si>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</si>
  <si>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</si>
  <si>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</si>
  <si>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</si>
  <si>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</si>
  <si>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</si>
  <si>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</si>
  <si>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</si>
  <si>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</si>
  <si>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</si>
  <si>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</si>
  <si>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</si>
  <si>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</si>
  <si>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</si>
  <si>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</si>
  <si>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</si>
  <si>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</si>
  <si>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</si>
  <si>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</si>
  <si>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</si>
  <si>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</si>
  <si>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</si>
  <si>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</si>
  <si>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</si>
  <si>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</si>
  <si>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</si>
  <si>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</si>
  <si>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</si>
  <si>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</si>
  <si>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</si>
  <si>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</si>
  <si>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</si>
  <si>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</si>
  <si>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</si>
  <si>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</si>
  <si>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</si>
  <si>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</si>
  <si>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</si>
  <si>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</si>
  <si>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</si>
  <si>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</si>
  <si>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</si>
  <si>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</si>
  <si>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</si>
  <si>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</si>
  <si>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</si>
  <si>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</si>
  <si>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</si>
  <si>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</si>
  <si>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</si>
  <si>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</si>
  <si>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</si>
  <si>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</si>
  <si>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</si>
  <si>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</si>
  <si>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</si>
  <si>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</si>
  <si>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</si>
  <si>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</si>
  <si>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</si>
  <si>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</si>
  <si>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</si>
  <si>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</si>
  <si>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</si>
  <si>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</si>
  <si>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</si>
  <si>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</si>
  <si>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</si>
  <si>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</si>
  <si>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</si>
  <si>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</si>
  <si>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</si>
  <si>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</si>
  <si>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</si>
  <si>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</si>
  <si>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</si>
  <si>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</si>
  <si>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</si>
  <si>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</si>
  <si>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</si>
  <si>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</si>
  <si>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</si>
  <si>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</si>
  <si>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</si>
  <si>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</si>
  <si>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</si>
  <si>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</si>
  <si>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</si>
  <si>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</si>
  <si>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</si>
  <si>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</si>
  <si>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</si>
  <si>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</si>
  <si>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</si>
  <si>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</si>
  <si>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</si>
  <si>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</si>
  <si>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</si>
  <si>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</si>
  <si>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</si>
  <si>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</si>
  <si>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</si>
  <si>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</si>
  <si>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</si>
  <si>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</si>
  <si>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</si>
  <si>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</si>
  <si>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</si>
  <si>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</si>
  <si>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</si>
  <si>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</si>
  <si>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</si>
  <si>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</si>
  <si>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</si>
  <si>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</si>
  <si>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</si>
  <si>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</si>
  <si>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</si>
  <si>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</si>
  <si>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</si>
  <si>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</si>
  <si>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</si>
  <si>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</si>
  <si>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</si>
  <si>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</si>
  <si>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</si>
  <si>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</si>
  <si>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</si>
  <si>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</si>
  <si>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</si>
  <si>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</si>
  <si>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</si>
  <si>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</si>
  <si>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</si>
  <si>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</si>
  <si>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</si>
  <si>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</si>
  <si>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</si>
  <si>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</si>
  <si>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</si>
  <si>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</si>
  <si>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</si>
  <si>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</si>
  <si>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</si>
  <si>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</si>
  <si>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</si>
  <si>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</si>
  <si>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</si>
  <si>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</si>
  <si>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</si>
  <si>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</si>
  <si>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</si>
  <si>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</si>
  <si>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</si>
  <si>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</si>
  <si>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</si>
  <si>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</si>
  <si>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</si>
  <si>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</si>
  <si>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</si>
  <si>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</si>
  <si>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</si>
  <si>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</si>
  <si>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</si>
  <si>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</si>
  <si>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</si>
  <si>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</si>
  <si>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</si>
  <si>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</si>
  <si>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</si>
  <si>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</si>
  <si>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</si>
  <si>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</si>
  <si>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</si>
  <si>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</si>
  <si>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</si>
  <si>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</si>
  <si>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</si>
  <si>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</si>
  <si>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</si>
  <si>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</si>
  <si>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</si>
  <si>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</si>
  <si>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</si>
  <si>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</si>
  <si>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</si>
  <si>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</si>
  <si>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</si>
  <si>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</si>
  <si>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</si>
  <si>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</si>
  <si>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</si>
  <si>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</si>
  <si>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</si>
  <si>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</si>
  <si>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</si>
  <si>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</si>
  <si>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</si>
  <si>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</si>
  <si>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</si>
  <si>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the NET INCOME from the table at the right for the year </t>
  </si>
  <si>
    <t xml:space="preserve">In the green cell below, create a formula that extrapolates the linear trend from the </t>
  </si>
  <si>
    <t>For all positive discount rates,</t>
  </si>
  <si>
    <t>as the discount rate increases, the future value of an investment increases.</t>
  </si>
  <si>
    <t>as the discount rate increases, the present value of an investment increases.</t>
  </si>
  <si>
    <t>A and B are both correct.</t>
  </si>
  <si>
    <t>Accounts receivable</t>
  </si>
  <si>
    <t>All of the above would typically maintain the same percentage relationship to sales.</t>
  </si>
  <si>
    <t>t</t>
  </si>
  <si>
    <t>The future value of a current deposit decreases as the expected rate of inflation increases, other things equal.  (True or False?)</t>
  </si>
  <si>
    <t>Objective Section - 20 Points Possible</t>
  </si>
  <si>
    <t>20 points of the 100 point total for the exam.</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</si>
  <si>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</si>
  <si>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</si>
  <si>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</si>
  <si>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</si>
  <si>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</si>
  <si>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</si>
  <si>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</si>
  <si>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</si>
  <si>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</si>
  <si>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</si>
  <si>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</si>
  <si>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</si>
  <si>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</si>
  <si>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</si>
  <si>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t>There are 8 tabbed pages in this exam spreadsheet including this one.</t>
  </si>
  <si>
    <t>More than one of the above</t>
  </si>
  <si>
    <t>B</t>
  </si>
  <si>
    <t>11.</t>
  </si>
  <si>
    <t>12.</t>
  </si>
  <si>
    <t>13.</t>
  </si>
  <si>
    <t>14.</t>
  </si>
  <si>
    <t>That is the amount you must compute.</t>
  </si>
  <si>
    <t>Withdrawal 26</t>
  </si>
  <si>
    <t>Withdrawal 27</t>
  </si>
  <si>
    <t>Withdrawal 28</t>
  </si>
  <si>
    <t>Withdrawal 29</t>
  </si>
  <si>
    <t>Withdrawal 30</t>
  </si>
  <si>
    <t>PV at t=7 of CF8-10</t>
  </si>
  <si>
    <t>PV at t=0 of CF8-10</t>
  </si>
  <si>
    <t>Your formulas should work for any reasonable value of the input. [3 Points]</t>
  </si>
  <si>
    <t>given in the input cell. [2 Points]</t>
  </si>
  <si>
    <t>According to financial theory, investors who take more risk expect to make higher returns than those who take less risk. (True or false?)</t>
  </si>
  <si>
    <r>
      <t xml:space="preserve">COMPUTER YOU ARE USING </t>
    </r>
    <r>
      <rPr>
        <b/>
        <u/>
        <sz val="20"/>
        <color rgb="FFFF0000"/>
        <rFont val="Calibri"/>
        <family val="2"/>
        <scheme val="minor"/>
      </rPr>
      <t>WITH YOUR NAME IN THE FILENAME</t>
    </r>
    <r>
      <rPr>
        <b/>
        <sz val="14"/>
        <color rgb="FFFF0000"/>
        <rFont val="Calibri"/>
        <family val="2"/>
        <scheme val="minor"/>
      </rPr>
      <t>.</t>
    </r>
  </si>
  <si>
    <t>After the 30th year's payout, you want to have a $500,000 balance left in the account for contingencies.</t>
  </si>
  <si>
    <t>Term of Loan in Years (1 to 30)</t>
  </si>
  <si>
    <t>Payment Number (1 to 360)</t>
  </si>
  <si>
    <t>#4</t>
  </si>
  <si>
    <t>t = 0</t>
  </si>
  <si>
    <t>t = 1</t>
  </si>
  <si>
    <t>t = 2</t>
  </si>
  <si>
    <t>t = 3</t>
  </si>
  <si>
    <t>t = 4</t>
  </si>
  <si>
    <t>t = 5</t>
  </si>
  <si>
    <t>t = 6</t>
  </si>
  <si>
    <t>t = 7</t>
  </si>
  <si>
    <t>t = 8</t>
  </si>
  <si>
    <t>t = 9</t>
  </si>
  <si>
    <t>t = 10</t>
  </si>
  <si>
    <t>Cash Flow</t>
  </si>
  <si>
    <t>$X</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</si>
  <si>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</si>
  <si>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[ 2 Points ]</t>
    </r>
  </si>
  <si>
    <t>hard-code the numbers in the formulas but the formulas must be shown. [ 5 Points ]</t>
  </si>
  <si>
    <t>Format the graph with a title and approriate X and Y axis lables.  [6 Points]</t>
  </si>
  <si>
    <t>-2 Points for each incorrect or omitted answer.</t>
  </si>
  <si>
    <t>your retirement account to pay out $200,000 per year for 30 years starting on January 1, 2053.</t>
  </si>
  <si>
    <t xml:space="preserve">You plan to make annual deposits into your retirement account on January 1 of every year from 2020 </t>
  </si>
  <si>
    <t xml:space="preserve">to 2049(30 deposits). You will make the first deposit on January 1, 2020, with a $25,000 check. </t>
  </si>
  <si>
    <t>The remaining 29 deposits will all be equal to each other, but the amount is not yet known.</t>
  </si>
  <si>
    <t>Amount needed on 1/1/2052</t>
  </si>
  <si>
    <t>PV of above on 01/01/2020</t>
  </si>
  <si>
    <t>Amount of each of the 29 regular payments that</t>
  </si>
  <si>
    <t>Deposit 26</t>
  </si>
  <si>
    <t>Deposit 27</t>
  </si>
  <si>
    <t>Deposit 28</t>
  </si>
  <si>
    <t>Deposit 29</t>
  </si>
  <si>
    <t>Deposit 30</t>
  </si>
  <si>
    <t>The total present value of all 11 cash flows, including the three missing ones (X's), is $5,000</t>
  </si>
  <si>
    <t xml:space="preserve">if the discount rate is 5% per year compounded annually. The three missing cash flows, </t>
  </si>
  <si>
    <t>PV at t=2 of CF3-4</t>
  </si>
  <si>
    <t>PV at t=0 of CF3-4</t>
  </si>
  <si>
    <t>Value of unknowns at t=4</t>
  </si>
  <si>
    <t>10 years of sales provided and uses it to estimate 2019 sales. [2 Points]</t>
  </si>
  <si>
    <t xml:space="preserve">Problem 5 for the years 2009 to 2018, and that includes a linear trendline that </t>
  </si>
  <si>
    <t>projects estimated sales through 2021.  The x-axis should list the individual years</t>
  </si>
  <si>
    <t xml:space="preserve"> and begin with 2009 and end with 2021. The y-axis should be sales in dollars. </t>
  </si>
  <si>
    <t>Percent Change in Sales from 2018</t>
  </si>
  <si>
    <t>Tax Rate for 2019</t>
  </si>
  <si>
    <t>Common Stock Dividend for 2019</t>
  </si>
  <si>
    <t>Expected addition to Plant and Equipment in 2019</t>
  </si>
  <si>
    <t>Additional depreciation on new Plant/Equip in 2019</t>
  </si>
  <si>
    <t>Excess/(Deficit) Financing for 2019</t>
  </si>
  <si>
    <t>The inputs below are for a monthly payment amortizing loan with a maximum term of 30 years:</t>
  </si>
  <si>
    <t>The expected rate of return on an investment is the rate that makes the present value of the expected cash inflows equal the present value of the expected cash outflows. (True or false?)</t>
  </si>
  <si>
    <t>A series of identical cash flows that are expected to occur at equal time periods forever is a perpetuity.  (True or false?)</t>
  </si>
  <si>
    <t>The beta (β) coefficient is a measure of a stock's undiversifiable risk when it is held in a large portfolio of stocks. (True or false?)</t>
  </si>
  <si>
    <t>E</t>
  </si>
  <si>
    <t>the discount rate decreases as the risk of an investment decreases.</t>
  </si>
  <si>
    <t>In a world with no risk and no inflation, rational investors would require no rate of interest to lend their money to someone else for a period of time.  (True or False?)</t>
  </si>
  <si>
    <t>C</t>
  </si>
  <si>
    <t>When projecting pro-forma income statements and balance sheets using the percent of sales method, which of the following are typically not assumed to maintain the same percentage relationship to sales over time?</t>
  </si>
  <si>
    <t>Account payable</t>
  </si>
  <si>
    <t>Long-Term Debt</t>
  </si>
  <si>
    <t xml:space="preserve">The effective annual interest rate on a loan will equal the "nominal" or "stated" </t>
  </si>
  <si>
    <t>rate on the loan only if the interest on the loan is compounded annually. (True or false?)</t>
  </si>
  <si>
    <t>The height or y-intercept of the security market line (SML) will decrease when</t>
  </si>
  <si>
    <t>Investor risk aversion increases</t>
  </si>
  <si>
    <t>The real rate of interest decreases</t>
  </si>
  <si>
    <t>Expected inflation increases</t>
  </si>
  <si>
    <t>The risk premium on the market portfolio decreases</t>
  </si>
  <si>
    <t>A</t>
  </si>
  <si>
    <t>The slope of the security market line (SML) will increase when</t>
  </si>
  <si>
    <t>More than one of the above is correct</t>
  </si>
  <si>
    <t>Any stock that is less sensitive than average to changes in general economic conditions will have a beta coefficient less than one.  (True or false?)</t>
  </si>
  <si>
    <t>For any positive interest rate, decreasing the compounding frequency will decrease the future value of an investment.  (True or false?)</t>
  </si>
  <si>
    <t>An investor would always prefer a shorter compounding period for interest than a longer compounding period, other things equal.  (True or false?)</t>
  </si>
  <si>
    <t xml:space="preserve">for the first three years, but then will pay an equal amount each year for 6 years, and then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</si>
</sst>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u/>
      <sz val="11"/>
      <color theme="1"/>
      <name val="Calibri"/>
      <family val="2"/>
      <scheme val="minor"/>
    </font>
    <font>
      <sz val="16"/>
      <color rgb="FFFF0000"/>
      <name val="Calibri"/>
      <family val="2"/>
      <scheme val="minor"/>
    </font>
    <font>
      <b/>
      <u/>
      <sz val="20"/>
      <color rgb="FFFF0000"/>
      <name val="Calibri"/>
      <family val="2"/>
      <scheme val="minor"/>
    </font>
    <font>
      <b/>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theme="1"/>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7" xfId="0" applyBorder="1"/>
    <xf numFmtId="0" fontId="3" fillId="3" borderId="2" xfId="0" applyFont="1" applyFill="1" applyBorder="1" applyAlignment="1">
      <alignment horizontal="center" wrapText="1"/>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2" xfId="0" quotePrefix="1" applyNumberFormat="1" applyFont="1" applyFill="1" applyBorder="1" applyAlignment="1">
      <alignment horizontal="center"/>
    </xf>
    <xf numFmtId="165" fontId="0" fillId="0" borderId="0" xfId="3" applyNumberFormat="1" applyFont="1"/>
    <xf numFmtId="41" fontId="0" fillId="0" borderId="7" xfId="0" applyNumberFormat="1" applyBorder="1"/>
    <xf numFmtId="41" fontId="8" fillId="6" borderId="12" xfId="0" applyNumberFormat="1" applyFont="1" applyFill="1" applyBorder="1"/>
    <xf numFmtId="41" fontId="9" fillId="0" borderId="0" xfId="0" applyNumberFormat="1" applyFont="1"/>
    <xf numFmtId="41" fontId="8" fillId="0" borderId="0" xfId="0" applyNumberFormat="1" applyFont="1"/>
    <xf numFmtId="41" fontId="8" fillId="0" borderId="7" xfId="0" applyNumberFormat="1" applyFont="1" applyBorder="1"/>
    <xf numFmtId="41" fontId="3" fillId="0" borderId="7"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7"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7" xfId="0" applyNumberFormat="1" applyFont="1" applyBorder="1" applyAlignment="1">
      <alignment horizontal="left" indent="5"/>
    </xf>
    <xf numFmtId="6" fontId="12" fillId="0" borderId="7" xfId="0" applyNumberFormat="1" applyFont="1" applyBorder="1"/>
    <xf numFmtId="0" fontId="0" fillId="0" borderId="7" xfId="0" applyBorder="1" applyAlignment="1">
      <alignment horizontal="left" indent="3"/>
    </xf>
    <xf numFmtId="0" fontId="0" fillId="0" borderId="0" xfId="0" quotePrefix="1"/>
    <xf numFmtId="0" fontId="2" fillId="0" borderId="0" xfId="0" applyFont="1"/>
    <xf numFmtId="164" fontId="0" fillId="0" borderId="0" xfId="0" applyNumberFormat="1"/>
    <xf numFmtId="164" fontId="2" fillId="0" borderId="0" xfId="0" applyNumberFormat="1" applyFont="1"/>
    <xf numFmtId="9" fontId="0" fillId="0" borderId="0" xfId="0" applyNumberFormat="1"/>
    <xf numFmtId="0" fontId="2" fillId="0" borderId="0" xfId="0"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41" fontId="5" fillId="2" borderId="0" xfId="0" applyNumberFormat="1" applyFont="1" applyFill="1"/>
    <xf numFmtId="10" fontId="0" fillId="7" borderId="1" xfId="0" applyNumberFormat="1" applyFill="1" applyBorder="1"/>
    <xf numFmtId="41" fontId="0" fillId="2" borderId="0" xfId="0" applyNumberFormat="1" applyFill="1"/>
    <xf numFmtId="0" fontId="0" fillId="0" borderId="8" xfId="0" applyBorder="1" applyAlignment="1">
      <alignment horizontal="center"/>
    </xf>
    <xf numFmtId="0" fontId="0" fillId="0" borderId="4" xfId="0" applyBorder="1" applyAlignment="1">
      <alignment horizontal="center"/>
    </xf>
    <xf numFmtId="0" fontId="0" fillId="0" borderId="0" xfId="0" applyAlignment="1">
      <alignment horizontal="left" indent="2"/>
    </xf>
    <xf numFmtId="10" fontId="2" fillId="0" borderId="1" xfId="0" applyNumberFormat="1" applyFont="1" applyBorder="1"/>
    <xf numFmtId="165" fontId="0" fillId="2" borderId="15" xfId="3" applyNumberFormat="1" applyFont="1" applyFill="1" applyBorder="1"/>
    <xf numFmtId="0" fontId="3" fillId="0" borderId="13" xfId="0" applyFont="1" applyBorder="1" applyAlignment="1">
      <alignment horizontal="center" wrapText="1"/>
    </xf>
    <xf numFmtId="0" fontId="0" fillId="0" borderId="7" xfId="0" applyBorder="1" applyAlignment="1">
      <alignment horizontal="center"/>
    </xf>
    <xf numFmtId="0" fontId="1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8" xfId="0" applyFont="1" applyFill="1" applyBorder="1" applyAlignment="1">
      <alignment horizontal="center"/>
    </xf>
    <xf numFmtId="164" fontId="0" fillId="5" borderId="6" xfId="2" applyNumberFormat="1" applyFont="1" applyFill="1" applyBorder="1"/>
    <xf numFmtId="41" fontId="5" fillId="0" borderId="0" xfId="0" applyNumberFormat="1" applyFont="1"/>
    <xf numFmtId="164" fontId="0" fillId="4" borderId="5" xfId="2" applyNumberFormat="1" applyFont="1" applyFill="1" applyBorder="1"/>
    <xf numFmtId="0" fontId="11" fillId="0" borderId="0" xfId="0" applyFont="1"/>
    <xf numFmtId="0" fontId="14" fillId="0" borderId="0" xfId="0" applyFont="1"/>
    <xf numFmtId="14" fontId="0" fillId="0" borderId="0" xfId="0" applyNumberFormat="1"/>
    <xf numFmtId="0" fontId="0" fillId="0" borderId="0" xfId="0" applyAlignment="1">
      <alignment horizontal="left" indent="1"/>
    </xf>
    <xf numFmtId="43" fontId="0" fillId="2" borderId="1" xfId="1" applyFont="1" applyFill="1" applyBorder="1"/>
    <xf numFmtId="164" fontId="1" fillId="0" borderId="5" xfId="2" applyNumberFormat="1" applyBorder="1" applyAlignment="1">
      <alignment horizontal="center"/>
    </xf>
    <xf numFmtId="6" fontId="12" fillId="0" borderId="0" xfId="0" applyNumberFormat="1" applyFont="1"/>
    <xf numFmtId="166" fontId="12" fillId="0" borderId="0" xfId="0" applyNumberFormat="1" applyFont="1"/>
    <xf numFmtId="165" fontId="12" fillId="0" borderId="0" xfId="0" applyNumberFormat="1" applyFont="1"/>
    <xf numFmtId="0" fontId="16" fillId="0" borderId="0" xfId="0" applyFont="1" applyAlignment="1">
      <alignment horizontal="center" vertical="center"/>
    </xf>
    <xf numFmtId="0" fontId="3" fillId="0" borderId="0" xfId="0" quotePrefix="1" applyFont="1" applyAlignment="1">
      <alignment horizontal="center"/>
    </xf>
    <xf numFmtId="0" fontId="3" fillId="4" borderId="14" xfId="0" applyFont="1" applyFill="1" applyBorder="1" applyAlignment="1">
      <alignment horizontal="center"/>
    </xf>
    <xf numFmtId="164" fontId="0" fillId="4" borderId="16" xfId="2" applyNumberFormat="1" applyFont="1" applyFill="1" applyBorder="1"/>
    <xf numFmtId="0" fontId="8" fillId="6" borderId="13" xfId="0" quotePrefix="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applyAlignment="1">
      <alignment horizontal="left" vertical="top" wrapText="1"/>
    </xf>
    <xf numFmtId="164" fontId="12" fillId="0" borderId="17" xfId="2" applyNumberFormat="1" applyFont="1" applyBorder="1"/>
    <xf numFmtId="0" fontId="12" fillId="0" borderId="17" xfId="0" applyFont="1" applyBorder="1"/>
    <xf numFmtId="10" fontId="12" fillId="0" borderId="17" xfId="0" applyNumberFormat="1" applyFont="1" applyBorder="1"/>
    <xf numFmtId="164" fontId="12" fillId="0" borderId="0" xfId="2" applyNumberFormat="1" applyFont="1"/>
    <xf numFmtId="0" fontId="12"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164" fontId="2" fillId="0" borderId="5" xfId="2"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0" borderId="20" xfId="0" applyBorder="1" applyAlignment="1">
      <alignment horizontal="center"/>
    </xf>
    <xf numFmtId="164" fontId="1" fillId="0" borderId="21" xfId="2" applyNumberFormat="1" applyBorder="1" applyAlignment="1">
      <alignment horizontal="center"/>
    </xf>
    <xf numFmtId="164" fontId="2" fillId="0" borderId="6" xfId="2" applyNumberFormat="1" applyFont="1" applyBorder="1" applyAlignment="1">
      <alignment horizontal="center"/>
    </xf>
    <xf numFmtId="8" fontId="17" fillId="0" borderId="0" xfId="0" applyNumberFormat="1" applyFont="1"/>
    <xf numFmtId="0" fontId="0" fillId="0" borderId="22" xfId="0"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8" borderId="22" xfId="0" applyFill="1" applyBorder="1" applyAlignment="1">
      <alignment horizontal="center"/>
    </xf>
    <xf numFmtId="0" fontId="0" fillId="8" borderId="5" xfId="0" applyFill="1" applyBorder="1" applyAlignment="1">
      <alignment horizontal="center"/>
    </xf>
    <xf numFmtId="0" fontId="0" fillId="8" borderId="26" xfId="0" applyFill="1" applyBorder="1" applyAlignment="1">
      <alignment horizontal="center"/>
    </xf>
    <xf numFmtId="0" fontId="0" fillId="8" borderId="6" xfId="0" applyFill="1" applyBorder="1" applyAlignment="1">
      <alignment horizontal="center"/>
    </xf>
    <xf numFmtId="0" fontId="7" fillId="0" borderId="0" xfId="0" applyFont="1"/>
    <xf numFmtId="0" fontId="18" fillId="0" borderId="0" xfId="0" applyFont="1"/>
    <xf numFmtId="0" fontId="20" fillId="0" borderId="0" xfId="0" applyFont="1" applyAlignment="1">
      <alignment horizontal="center"/>
    </xf>
    <xf numFmtId="164" fontId="0" fillId="0" borderId="0" xfId="2" applyNumberFormat="1" applyFont="1"/>
    <xf numFmtId="164" fontId="0" fillId="0" borderId="0" xfId="2" applyNumberFormat="1" applyFont="1" applyAlignment="1">
      <alignment horizontal="center"/>
    </xf>
    <xf numFmtId="0" fontId="0" fillId="0" borderId="0" xfId="0" quotePrefix="1" applyAlignment="1">
      <alignment horizontal="center"/>
    </xf>
    <xf numFmtId="0" fontId="3" fillId="4" borderId="20" xfId="0" applyFont="1" applyFill="1" applyBorder="1" applyAlignment="1">
      <alignment horizontal="center"/>
    </xf>
    <xf numFmtId="164" fontId="0" fillId="4" borderId="21" xfId="2" applyNumberFormat="1" applyFont="1" applyFill="1" applyBorder="1"/>
    <xf numFmtId="41" fontId="8" fillId="6" borderId="13" xfId="0" quotePrefix="1" applyNumberFormat="1" applyFont="1" applyFill="1" applyBorder="1" applyAlignment="1">
      <alignment horizontal="center" vertical="center"/>
    </xf>
    <xf numFmtId="41" fontId="8" fillId="6" borderId="13" xfId="0" applyNumberFormat="1" applyFont="1" applyFill="1" applyBorder="1"/>
    <xf numFmtId="0" fontId="0" fillId="0" borderId="0" xfId="0" applyAlignment="1">
      <alignment vertical="top" wrapText="1"/>
    </xf>
    <xf numFmtId="0" fontId="3" fillId="2" borderId="13" xfId="0" applyFont="1" applyFill="1" applyBorder="1" applyAlignment="1">
      <alignment horizontal="center"/>
    </xf>
    <xf numFmtId="0" fontId="3" fillId="2" borderId="13" xfId="0" applyFont="1" applyFill="1" applyBorder="1" applyAlignment="1">
      <alignment horizontal="center" vertical="center"/>
    </xf>
    <xf numFmtId="8" fontId="0" fillId="2" borderId="10" xfId="2" applyNumberFormat="1" applyFont="1" applyFill="1" applyBorder="1"/>
    <xf numFmtId="44" fontId="0" fillId="2" borderId="11" xfId="2" applyFont="1" applyFill="1" applyBorder="1"/>
    <xf numFmtId="41" fontId="8" fillId="6" borderId="13" xfId="0" applyNumberFormat="1" applyFont="1" applyFill="1" applyBorder="1" applyAlignment="1">
      <alignment horizontal="center" vertical="center"/>
    </xf>
    <xf numFmtId="41" fontId="8" fillId="6" borderId="13" xfId="0" quotePrefix="1" applyNumberFormat="1" applyFont="1" applyFill="1" applyBorder="1" applyAlignment="1">
      <alignment horizontal="center" vertical="center"/>
    </xf>
    <xf numFmtId="41" fontId="7" fillId="0" borderId="7" xfId="0" applyNumberFormat="1" applyFont="1" applyBorder="1" applyAlignment="1">
      <alignment horizont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3"/>
            <c:dispRSqr val="0"/>
            <c:dispEq val="0"/>
          </c:trendline>
          <c:trendline>
            <c:spPr>
              <a:ln w="19050" cap="rnd">
                <a:solidFill>
                  <a:schemeClr val="accent1"/>
                </a:solidFill>
                <a:prstDash val="sysDot"/>
              </a:ln>
              <a:effectLst/>
            </c:spPr>
            <c:trendlineType val="linear"/>
            <c:dispRSqr val="0"/>
            <c:dispEq val="0"/>
          </c:trendline>
          <c:xVal>
            <c:numRef>
              <c:f>'P5 - 20 Pts'!$C$97:$C$106</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xVal>
          <c:yVal>
            <c:numRef>
              <c:f>'P5 - 20 Pts'!$D$97:$D$106</c:f>
              <c:numCache>
                <c:formatCode>_("$"* #,##0_);_("$"* \(#,##0\);_("$"* "-"??_);_(@_)</c:formatCode>
                <c:ptCount val="10"/>
                <c:pt idx="0">
                  <c:v>2460580</c:v>
                </c:pt>
                <c:pt idx="1">
                  <c:v>2726614</c:v>
                </c:pt>
                <c:pt idx="2">
                  <c:v>2618912</c:v>
                </c:pt>
                <c:pt idx="3">
                  <c:v>2845692</c:v>
                </c:pt>
                <c:pt idx="4">
                  <c:v>3021256</c:v>
                </c:pt>
                <c:pt idx="5">
                  <c:v>2956123</c:v>
                </c:pt>
                <c:pt idx="6">
                  <c:v>3181235</c:v>
                </c:pt>
                <c:pt idx="7">
                  <c:v>3216548</c:v>
                </c:pt>
                <c:pt idx="8">
                  <c:v>3521654</c:v>
                </c:pt>
                <c:pt idx="9">
                  <c:v>3381955</c:v>
                </c:pt>
              </c:numCache>
            </c:numRef>
          </c:yVal>
          <c:smooth val="0"/>
          <c:extLst>
            <c:ext xmlns:c16="http://schemas.microsoft.com/office/drawing/2014/chart" uri="{C3380CC4-5D6E-409C-BE32-E72D297353CC}">
              <c16:uniqueId val="{00000000-5C6B-4B15-9FCD-7AFDB1C21E9B}"/>
            </c:ext>
          </c:extLst>
        </c:ser>
        <c:dLbls>
          <c:showLegendKey val="0"/>
          <c:showVal val="0"/>
          <c:showCatName val="0"/>
          <c:showSerName val="0"/>
          <c:showPercent val="0"/>
          <c:showBubbleSize val="0"/>
        </c:dLbls>
        <c:axId val="1286322704"/>
        <c:axId val="1286325424"/>
      </c:scatterChart>
      <c:valAx>
        <c:axId val="1286322704"/>
        <c:scaling>
          <c:orientation val="minMax"/>
          <c:max val="2021"/>
          <c:min val="2009"/>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86325424"/>
        <c:crosses val="autoZero"/>
        <c:crossBetween val="midCat"/>
        <c:majorUnit val="1"/>
      </c:valAx>
      <c:valAx>
        <c:axId val="12863254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86322704"/>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3% and 10%.</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81280</xdr:colOff>
      <xdr:row>30</xdr:row>
      <xdr:rowOff>58420</xdr:rowOff>
    </xdr:from>
    <xdr:to>
      <xdr:col>9</xdr:col>
      <xdr:colOff>87630</xdr:colOff>
      <xdr:row>36</xdr:row>
      <xdr:rowOff>77470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605280" y="5369560"/>
          <a:ext cx="417449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360. Your model must work for any allowable inputs.</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223158</xdr:colOff>
      <xdr:row>115</xdr:row>
      <xdr:rowOff>38101</xdr:rowOff>
    </xdr:from>
    <xdr:to>
      <xdr:col>8</xdr:col>
      <xdr:colOff>91109</xdr:colOff>
      <xdr:row>129</xdr:row>
      <xdr:rowOff>114301</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20</xdr:row>
      <xdr:rowOff>57978</xdr:rowOff>
    </xdr:to>
    <xdr:sp macro="" textlink="">
      <xdr:nvSpPr>
        <xdr:cNvPr id="2" name="TextBox 1">
          <a:extLst>
            <a:ext uri="{FF2B5EF4-FFF2-40B4-BE49-F238E27FC236}">
              <a16:creationId xmlns:a16="http://schemas.microsoft.com/office/drawing/2014/main" id="{5147A1F8-447B-4715-852F-BFD89B17CDD3}"/>
            </a:ext>
          </a:extLst>
        </xdr:cNvPr>
        <xdr:cNvSpPr txBox="1"/>
      </xdr:nvSpPr>
      <xdr:spPr>
        <a:xfrm>
          <a:off x="228599" y="180974"/>
          <a:ext cx="6800851" cy="3687004"/>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2019 pro forma income statement and balance sheet for the firm whose 2017 and 2018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2019 is expected to change with sales by 89% of the two-year arithmetic average of the proportion of this item in relation to sales</a:t>
          </a:r>
          <a:r>
            <a:rPr lang="en-US" sz="1100" b="1" baseline="0">
              <a:solidFill>
                <a:schemeClr val="dk1"/>
              </a:solidFill>
              <a:effectLst/>
              <a:latin typeface="+mn-lt"/>
              <a:ea typeface="+mn-ea"/>
              <a:cs typeface="+mn-cs"/>
            </a:rPr>
            <a:t> for 2017 and 2018.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2017 and 2018</a:t>
          </a:r>
          <a:r>
            <a:rPr lang="en-US" sz="1100" b="1">
              <a:solidFill>
                <a:schemeClr val="dk1"/>
              </a:solidFill>
              <a:effectLst/>
              <a:latin typeface="+mn-lt"/>
              <a:ea typeface="+mn-ea"/>
              <a:cs typeface="+mn-cs"/>
            </a:rPr>
            <a:t>.  The firm has planned an investment of $650,000 in new equipment </a:t>
          </a:r>
          <a:r>
            <a:rPr lang="en-US" sz="1100" b="1" baseline="0">
              <a:solidFill>
                <a:schemeClr val="dk1"/>
              </a:solidFill>
              <a:effectLst/>
              <a:latin typeface="+mn-lt"/>
              <a:ea typeface="+mn-ea"/>
              <a:cs typeface="+mn-cs"/>
            </a:rPr>
            <a:t>in 2018.  This equipment will be depreciated at $125,000 per year. Depreciation on existing Plant/Equipment will be the same as it was in 2018.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2019 is computed on the 2018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2019 using the information above, the inputs below, and the values that are given in the statements. The 2019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2019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5"/>
  <sheetViews>
    <sheetView showGridLines="0" tabSelected="1" zoomScale="145" zoomScaleNormal="145" workbookViewId="0"/>
  </sheetViews>
  <sheetFormatPr defaultRowHeight="15" x14ac:dyDescent="0.25"/>
  <cols>
    <col min="1" max="1" width="2.7109375" customWidth="1"/>
  </cols>
  <sheetData>
    <row r="2" spans="2:2" ht="18.75" x14ac:dyDescent="0.3">
      <c r="B2" s="68" t="s">
        <v>53</v>
      </c>
    </row>
    <row r="3" spans="2:2" ht="26.25" x14ac:dyDescent="0.4">
      <c r="B3" s="68" t="s">
        <v>244</v>
      </c>
    </row>
    <row r="4" spans="2:2" ht="18.75" x14ac:dyDescent="0.3">
      <c r="B4" s="68" t="s">
        <v>59</v>
      </c>
    </row>
    <row r="5" spans="2:2" ht="6" customHeight="1" x14ac:dyDescent="0.3">
      <c r="B5" s="68"/>
    </row>
    <row r="6" spans="2:2" ht="16.5" customHeight="1" x14ac:dyDescent="0.3">
      <c r="B6" s="68" t="s">
        <v>101</v>
      </c>
    </row>
    <row r="7" spans="2:2" ht="16.5" customHeight="1" x14ac:dyDescent="0.3">
      <c r="B7" s="68" t="s">
        <v>102</v>
      </c>
    </row>
    <row r="8" spans="2:2" ht="16.5" customHeight="1" x14ac:dyDescent="0.3">
      <c r="B8" s="68" t="s">
        <v>122</v>
      </c>
    </row>
    <row r="9" spans="2:2" ht="4.5" customHeight="1" x14ac:dyDescent="0.3">
      <c r="B9" s="68"/>
    </row>
    <row r="10" spans="2:2" ht="15" customHeight="1" x14ac:dyDescent="0.3">
      <c r="B10" s="68" t="s">
        <v>54</v>
      </c>
    </row>
    <row r="11" spans="2:2" ht="16.5" customHeight="1" x14ac:dyDescent="0.3">
      <c r="B11" s="68"/>
    </row>
    <row r="12" spans="2:2" ht="17.649999999999999" customHeight="1" x14ac:dyDescent="0.25">
      <c r="B12" t="s">
        <v>226</v>
      </c>
    </row>
    <row r="13" spans="2:2" ht="18.75" x14ac:dyDescent="0.3">
      <c r="B13" s="68"/>
    </row>
    <row r="14" spans="2:2" ht="20.45" customHeight="1" x14ac:dyDescent="0.25">
      <c r="B14" t="s">
        <v>55</v>
      </c>
    </row>
    <row r="15" spans="2:2" x14ac:dyDescent="0.25">
      <c r="B15" t="s">
        <v>123</v>
      </c>
    </row>
    <row r="16" spans="2:2" x14ac:dyDescent="0.25">
      <c r="B16" t="s">
        <v>211</v>
      </c>
    </row>
    <row r="18" spans="2:3" ht="17.649999999999999" customHeight="1" x14ac:dyDescent="0.25">
      <c r="B18" s="69" t="s">
        <v>103</v>
      </c>
    </row>
    <row r="19" spans="2:3" ht="17.649999999999999" customHeight="1" x14ac:dyDescent="0.25">
      <c r="B19" s="69" t="s">
        <v>104</v>
      </c>
    </row>
    <row r="20" spans="2:3" ht="17.649999999999999" customHeight="1" x14ac:dyDescent="0.25"/>
    <row r="21" spans="2:3" ht="14.65" customHeight="1" x14ac:dyDescent="0.35">
      <c r="B21" s="112" t="s">
        <v>73</v>
      </c>
    </row>
    <row r="23" spans="2:3" ht="19.5" customHeight="1" x14ac:dyDescent="0.35">
      <c r="C23" s="113" t="s">
        <v>74</v>
      </c>
    </row>
    <row r="24" spans="2:3" ht="21" x14ac:dyDescent="0.35">
      <c r="C24" s="113" t="s">
        <v>105</v>
      </c>
    </row>
    <row r="25" spans="2:3" ht="21" x14ac:dyDescent="0.35">
      <c r="C25" s="113"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6" x14ac:dyDescent="0.25">
      <c r="C18" s="6"/>
    </row>
    <row r="19" spans="3:16" x14ac:dyDescent="0.25">
      <c r="C19" s="6"/>
    </row>
    <row r="20" spans="3:16" x14ac:dyDescent="0.25">
      <c r="C20" s="15" t="s">
        <v>61</v>
      </c>
    </row>
    <row r="21" spans="3:16" ht="15.75" thickBot="1" x14ac:dyDescent="0.3">
      <c r="C21" s="6" t="s">
        <v>8</v>
      </c>
      <c r="F21" s="2">
        <v>425000</v>
      </c>
      <c r="G21" t="s">
        <v>86</v>
      </c>
      <c r="N21" t="s">
        <v>77</v>
      </c>
      <c r="O21">
        <f>IF(F25="Annual",1,IF(F25="Quarterly",4,12))</f>
        <v>12</v>
      </c>
      <c r="P21">
        <v>1</v>
      </c>
    </row>
    <row r="22" spans="3:16" ht="15.75" thickBot="1" x14ac:dyDescent="0.3">
      <c r="C22" s="6" t="s">
        <v>80</v>
      </c>
      <c r="F22" s="43">
        <v>4</v>
      </c>
      <c r="G22" t="s">
        <v>89</v>
      </c>
      <c r="H22" s="5">
        <f>D31*Term*Periods+F24-F21</f>
        <v>51492.999751094903</v>
      </c>
      <c r="N22" t="s">
        <v>78</v>
      </c>
      <c r="P22">
        <v>2</v>
      </c>
    </row>
    <row r="23" spans="3:16" x14ac:dyDescent="0.25">
      <c r="C23" s="6" t="s">
        <v>9</v>
      </c>
      <c r="F23" s="3">
        <v>4.7500000000000001E-2</v>
      </c>
      <c r="N23" t="s">
        <v>79</v>
      </c>
      <c r="P23">
        <v>3</v>
      </c>
    </row>
    <row r="24" spans="3:16" ht="15.75" thickBot="1" x14ac:dyDescent="0.3">
      <c r="C24" s="6" t="s">
        <v>10</v>
      </c>
      <c r="F24" s="2">
        <v>100000</v>
      </c>
      <c r="G24" t="s">
        <v>87</v>
      </c>
      <c r="P24">
        <v>4</v>
      </c>
    </row>
    <row r="25" spans="3:16" ht="15.75" thickBot="1" x14ac:dyDescent="0.3">
      <c r="C25" s="6" t="s">
        <v>60</v>
      </c>
      <c r="F25" t="s">
        <v>79</v>
      </c>
      <c r="G25" t="s">
        <v>88</v>
      </c>
      <c r="H25" s="48">
        <f>EFFECT(Rate,Periods)</f>
        <v>4.8547881445884844E-2</v>
      </c>
      <c r="P25">
        <v>5</v>
      </c>
    </row>
    <row r="26" spans="3:16" ht="4.1500000000000004" customHeight="1" thickBot="1" x14ac:dyDescent="0.3">
      <c r="C26" s="37"/>
      <c r="D26" s="8"/>
      <c r="E26" s="8"/>
      <c r="F26" s="8"/>
      <c r="G26" s="8"/>
      <c r="H26" s="8"/>
      <c r="I26" s="8"/>
      <c r="J26" s="8"/>
      <c r="K26" s="8"/>
      <c r="L26" s="8"/>
      <c r="M26" s="8"/>
    </row>
    <row r="27" spans="3:16" ht="6" customHeight="1" x14ac:dyDescent="0.25"/>
    <row r="28" spans="3:16" ht="6" customHeight="1" thickBot="1" x14ac:dyDescent="0.3"/>
    <row r="29" spans="3:16" ht="30.75" thickBot="1" x14ac:dyDescent="0.3">
      <c r="C29" s="9" t="s">
        <v>11</v>
      </c>
      <c r="D29" s="10" t="s">
        <v>4</v>
      </c>
      <c r="E29" s="10" t="s">
        <v>12</v>
      </c>
      <c r="F29" s="10" t="s">
        <v>13</v>
      </c>
      <c r="G29" s="11" t="s">
        <v>14</v>
      </c>
    </row>
    <row r="30" spans="3:16" x14ac:dyDescent="0.25">
      <c r="C30" s="12">
        <v>0</v>
      </c>
      <c r="D30" s="13"/>
      <c r="E30" s="13"/>
      <c r="F30" s="13"/>
      <c r="G30" s="44">
        <f>F21</f>
        <v>425000</v>
      </c>
    </row>
    <row r="31" spans="3:16" x14ac:dyDescent="0.25">
      <c r="C31" s="12">
        <v>1</v>
      </c>
      <c r="D31" s="14">
        <f>PMT(Rate/Periods,Term*Periods,-F21,F24)</f>
        <v>7843.6041614811438</v>
      </c>
      <c r="E31" s="13">
        <f t="shared" ref="E31:E62" si="0">IF(C31&gt;Term*Periods,"",G30*Rate/Periods)</f>
        <v>1682.2916666666667</v>
      </c>
      <c r="F31" s="14">
        <f t="shared" ref="F31:F62" si="1">IF(C31&gt;Term*Periods,"",D31-E31)</f>
        <v>6161.3124948144768</v>
      </c>
      <c r="G31" s="13">
        <f t="shared" ref="G31:G62" si="2">IF(C31&gt;Term*Periods,"",G30-F31)</f>
        <v>418838.68750518555</v>
      </c>
      <c r="K31" t="s">
        <v>15</v>
      </c>
    </row>
    <row r="32" spans="3:16" x14ac:dyDescent="0.25">
      <c r="C32" s="12">
        <v>2</v>
      </c>
      <c r="D32" s="14">
        <f t="shared" ref="D32:D63" si="3">IF(C32&gt;Term*Periods,"",IF(C32=Term*Periods,$D$31+$F$24,$D$31))</f>
        <v>7843.6041614811438</v>
      </c>
      <c r="E32" s="13">
        <f t="shared" si="0"/>
        <v>1657.9031380413596</v>
      </c>
      <c r="F32" s="14">
        <f t="shared" si="1"/>
        <v>6185.701023439784</v>
      </c>
      <c r="G32" s="13">
        <f t="shared" si="2"/>
        <v>412652.98648174579</v>
      </c>
    </row>
    <row r="33" spans="3:7" x14ac:dyDescent="0.25">
      <c r="C33" s="12">
        <v>3</v>
      </c>
      <c r="D33" s="14">
        <f t="shared" si="3"/>
        <v>7843.6041614811438</v>
      </c>
      <c r="E33" s="13">
        <f t="shared" si="0"/>
        <v>1633.4180714902438</v>
      </c>
      <c r="F33" s="14">
        <f t="shared" si="1"/>
        <v>6210.1860899908997</v>
      </c>
      <c r="G33" s="13">
        <f t="shared" si="2"/>
        <v>406442.80039175489</v>
      </c>
    </row>
    <row r="34" spans="3:7" x14ac:dyDescent="0.25">
      <c r="C34" s="12">
        <v>4</v>
      </c>
      <c r="D34" s="14">
        <f t="shared" si="3"/>
        <v>7843.6041614811438</v>
      </c>
      <c r="E34" s="13">
        <f t="shared" si="0"/>
        <v>1608.83608488403</v>
      </c>
      <c r="F34" s="14">
        <f t="shared" si="1"/>
        <v>6234.7680765971136</v>
      </c>
      <c r="G34" s="13">
        <f t="shared" si="2"/>
        <v>400208.03231515776</v>
      </c>
    </row>
    <row r="35" spans="3:7" x14ac:dyDescent="0.25">
      <c r="C35" s="12">
        <v>5</v>
      </c>
      <c r="D35" s="14">
        <f t="shared" si="3"/>
        <v>7843.6041614811438</v>
      </c>
      <c r="E35" s="13">
        <f t="shared" si="0"/>
        <v>1584.1567945808329</v>
      </c>
      <c r="F35" s="14">
        <f t="shared" si="1"/>
        <v>6259.447366900311</v>
      </c>
      <c r="G35" s="13">
        <f t="shared" si="2"/>
        <v>393948.58494825743</v>
      </c>
    </row>
    <row r="36" spans="3:7" x14ac:dyDescent="0.25">
      <c r="C36" s="12">
        <v>6</v>
      </c>
      <c r="D36" s="14">
        <f t="shared" si="3"/>
        <v>7843.6041614811438</v>
      </c>
      <c r="E36" s="13">
        <f t="shared" si="0"/>
        <v>1559.3798154201857</v>
      </c>
      <c r="F36" s="14">
        <f t="shared" si="1"/>
        <v>6284.2243460609579</v>
      </c>
      <c r="G36" s="13">
        <f t="shared" si="2"/>
        <v>387664.36060219648</v>
      </c>
    </row>
    <row r="37" spans="3:7" x14ac:dyDescent="0.25">
      <c r="C37" s="12">
        <v>7</v>
      </c>
      <c r="D37" s="14">
        <f t="shared" si="3"/>
        <v>7843.6041614811438</v>
      </c>
      <c r="E37" s="13">
        <f t="shared" si="0"/>
        <v>1534.5047607170279</v>
      </c>
      <c r="F37" s="14">
        <f t="shared" si="1"/>
        <v>6309.0994007641157</v>
      </c>
      <c r="G37" s="13">
        <f t="shared" si="2"/>
        <v>381355.26120143238</v>
      </c>
    </row>
    <row r="38" spans="3:7" x14ac:dyDescent="0.25">
      <c r="C38" s="12">
        <v>8</v>
      </c>
      <c r="D38" s="14">
        <f t="shared" si="3"/>
        <v>7843.6041614811438</v>
      </c>
      <c r="E38" s="13">
        <f t="shared" si="0"/>
        <v>1509.5312422556699</v>
      </c>
      <c r="F38" s="14">
        <f t="shared" si="1"/>
        <v>6334.0729192254739</v>
      </c>
      <c r="G38" s="13">
        <f t="shared" si="2"/>
        <v>375021.18828220689</v>
      </c>
    </row>
    <row r="39" spans="3:7" x14ac:dyDescent="0.25">
      <c r="C39" s="12">
        <v>9</v>
      </c>
      <c r="D39" s="14">
        <f t="shared" si="3"/>
        <v>7843.6041614811438</v>
      </c>
      <c r="E39" s="13">
        <f t="shared" si="0"/>
        <v>1484.4588702837357</v>
      </c>
      <c r="F39" s="14">
        <f t="shared" si="1"/>
        <v>6359.1452911974084</v>
      </c>
      <c r="G39" s="13">
        <f t="shared" si="2"/>
        <v>368662.04299100948</v>
      </c>
    </row>
    <row r="40" spans="3:7" x14ac:dyDescent="0.25">
      <c r="C40" s="12">
        <v>10</v>
      </c>
      <c r="D40" s="14">
        <f t="shared" si="3"/>
        <v>7843.6041614811438</v>
      </c>
      <c r="E40" s="13">
        <f t="shared" si="0"/>
        <v>1459.2872535060794</v>
      </c>
      <c r="F40" s="14">
        <f t="shared" si="1"/>
        <v>6384.3169079750642</v>
      </c>
      <c r="G40" s="13">
        <f t="shared" si="2"/>
        <v>362277.72608303442</v>
      </c>
    </row>
    <row r="41" spans="3:7" x14ac:dyDescent="0.25">
      <c r="C41" s="12">
        <v>11</v>
      </c>
      <c r="D41" s="14">
        <f t="shared" si="3"/>
        <v>7843.6041614811438</v>
      </c>
      <c r="E41" s="13">
        <f t="shared" si="0"/>
        <v>1434.0159990786779</v>
      </c>
      <c r="F41" s="14">
        <f t="shared" si="1"/>
        <v>6409.588162402466</v>
      </c>
      <c r="G41" s="13">
        <f t="shared" si="2"/>
        <v>355868.13792063197</v>
      </c>
    </row>
    <row r="42" spans="3:7" x14ac:dyDescent="0.25">
      <c r="C42" s="12">
        <v>12</v>
      </c>
      <c r="D42" s="14">
        <f t="shared" si="3"/>
        <v>7843.6041614811438</v>
      </c>
      <c r="E42" s="13">
        <f t="shared" si="0"/>
        <v>1408.6447126025016</v>
      </c>
      <c r="F42" s="14">
        <f t="shared" si="1"/>
        <v>6434.9594488786424</v>
      </c>
      <c r="G42" s="13">
        <f t="shared" si="2"/>
        <v>349433.17847175332</v>
      </c>
    </row>
    <row r="43" spans="3:7" x14ac:dyDescent="0.25">
      <c r="C43" s="12">
        <v>13</v>
      </c>
      <c r="D43" s="14">
        <f t="shared" si="3"/>
        <v>7843.6041614811438</v>
      </c>
      <c r="E43" s="13">
        <f t="shared" si="0"/>
        <v>1383.1729981173569</v>
      </c>
      <c r="F43" s="14">
        <f t="shared" si="1"/>
        <v>6460.4311633637872</v>
      </c>
      <c r="G43" s="13">
        <f t="shared" si="2"/>
        <v>342972.74730838952</v>
      </c>
    </row>
    <row r="44" spans="3:7" x14ac:dyDescent="0.25">
      <c r="C44" s="12">
        <v>14</v>
      </c>
      <c r="D44" s="14">
        <f t="shared" si="3"/>
        <v>7843.6041614811438</v>
      </c>
      <c r="E44" s="13">
        <f t="shared" si="0"/>
        <v>1357.6004580957085</v>
      </c>
      <c r="F44" s="14">
        <f t="shared" si="1"/>
        <v>6486.0037033854351</v>
      </c>
      <c r="G44" s="13">
        <f t="shared" si="2"/>
        <v>336486.7436050041</v>
      </c>
    </row>
    <row r="45" spans="3:7" x14ac:dyDescent="0.25">
      <c r="C45" s="12">
        <v>15</v>
      </c>
      <c r="D45" s="14">
        <f t="shared" si="3"/>
        <v>7843.6041614811438</v>
      </c>
      <c r="E45" s="13">
        <f t="shared" si="0"/>
        <v>1331.9266934364746</v>
      </c>
      <c r="F45" s="14">
        <f t="shared" si="1"/>
        <v>6511.6774680446688</v>
      </c>
      <c r="G45" s="13">
        <f t="shared" si="2"/>
        <v>329975.06613695942</v>
      </c>
    </row>
    <row r="46" spans="3:7" x14ac:dyDescent="0.25">
      <c r="C46" s="12">
        <v>16</v>
      </c>
      <c r="D46" s="14">
        <f t="shared" si="3"/>
        <v>7843.6041614811438</v>
      </c>
      <c r="E46" s="13">
        <f t="shared" si="0"/>
        <v>1306.1513034587977</v>
      </c>
      <c r="F46" s="14">
        <f t="shared" si="1"/>
        <v>6537.4528580223459</v>
      </c>
      <c r="G46" s="13">
        <f t="shared" si="2"/>
        <v>323437.61327893706</v>
      </c>
    </row>
    <row r="47" spans="3:7" x14ac:dyDescent="0.25">
      <c r="C47" s="12">
        <v>17</v>
      </c>
      <c r="D47" s="14">
        <f t="shared" si="3"/>
        <v>7843.6041614811438</v>
      </c>
      <c r="E47" s="13">
        <f t="shared" si="0"/>
        <v>1280.2738858957925</v>
      </c>
      <c r="F47" s="14">
        <f t="shared" si="1"/>
        <v>6563.330275585351</v>
      </c>
      <c r="G47" s="13">
        <f t="shared" si="2"/>
        <v>316874.28300335171</v>
      </c>
    </row>
    <row r="48" spans="3:7" x14ac:dyDescent="0.25">
      <c r="C48" s="12">
        <v>18</v>
      </c>
      <c r="D48" s="14">
        <f t="shared" si="3"/>
        <v>7843.6041614811438</v>
      </c>
      <c r="E48" s="13">
        <f t="shared" si="0"/>
        <v>1254.2940368882671</v>
      </c>
      <c r="F48" s="14">
        <f t="shared" si="1"/>
        <v>6589.3101245928765</v>
      </c>
      <c r="G48" s="13">
        <f t="shared" si="2"/>
        <v>310284.97287875885</v>
      </c>
    </row>
    <row r="49" spans="3:7" x14ac:dyDescent="0.25">
      <c r="C49" s="12">
        <v>19</v>
      </c>
      <c r="D49" s="14">
        <f t="shared" si="3"/>
        <v>7843.6041614811438</v>
      </c>
      <c r="E49" s="13">
        <f t="shared" si="0"/>
        <v>1228.2113509784206</v>
      </c>
      <c r="F49" s="14">
        <f t="shared" si="1"/>
        <v>6615.3928105027235</v>
      </c>
      <c r="G49" s="13">
        <f t="shared" si="2"/>
        <v>303669.58006825612</v>
      </c>
    </row>
    <row r="50" spans="3:7" x14ac:dyDescent="0.25">
      <c r="C50" s="12">
        <v>20</v>
      </c>
      <c r="D50" s="14">
        <f t="shared" si="3"/>
        <v>7843.6041614811438</v>
      </c>
      <c r="E50" s="13">
        <f t="shared" si="0"/>
        <v>1202.0254211035137</v>
      </c>
      <c r="F50" s="14">
        <f t="shared" si="1"/>
        <v>6641.5787403776303</v>
      </c>
      <c r="G50" s="13">
        <f t="shared" si="2"/>
        <v>297028.0013278785</v>
      </c>
    </row>
    <row r="51" spans="3:7" x14ac:dyDescent="0.25">
      <c r="C51" s="12">
        <v>21</v>
      </c>
      <c r="D51" s="14">
        <f t="shared" si="3"/>
        <v>7843.6041614811438</v>
      </c>
      <c r="E51" s="13">
        <f t="shared" si="0"/>
        <v>1175.7358385895191</v>
      </c>
      <c r="F51" s="14">
        <f t="shared" si="1"/>
        <v>6667.8683228916252</v>
      </c>
      <c r="G51" s="13">
        <f t="shared" si="2"/>
        <v>290360.13300498686</v>
      </c>
    </row>
    <row r="52" spans="3:7" x14ac:dyDescent="0.25">
      <c r="C52" s="12">
        <v>22</v>
      </c>
      <c r="D52" s="14">
        <f t="shared" si="3"/>
        <v>7843.6041614811438</v>
      </c>
      <c r="E52" s="13">
        <f t="shared" si="0"/>
        <v>1149.3421931447397</v>
      </c>
      <c r="F52" s="14">
        <f t="shared" si="1"/>
        <v>6694.2619683364046</v>
      </c>
      <c r="G52" s="13">
        <f t="shared" si="2"/>
        <v>283665.87103665044</v>
      </c>
    </row>
    <row r="53" spans="3:7" x14ac:dyDescent="0.25">
      <c r="C53" s="12">
        <v>23</v>
      </c>
      <c r="D53" s="14">
        <f t="shared" si="3"/>
        <v>7843.6041614811438</v>
      </c>
      <c r="E53" s="13">
        <f t="shared" si="0"/>
        <v>1122.8440728534081</v>
      </c>
      <c r="F53" s="14">
        <f t="shared" si="1"/>
        <v>6720.760088627736</v>
      </c>
      <c r="G53" s="13">
        <f t="shared" si="2"/>
        <v>276945.11094802269</v>
      </c>
    </row>
    <row r="54" spans="3:7" x14ac:dyDescent="0.25">
      <c r="C54" s="12">
        <v>24</v>
      </c>
      <c r="D54" s="14">
        <f t="shared" si="3"/>
        <v>7843.6041614811438</v>
      </c>
      <c r="E54" s="13">
        <f t="shared" si="0"/>
        <v>1096.2410641692566</v>
      </c>
      <c r="F54" s="14">
        <f t="shared" si="1"/>
        <v>6747.363097311887</v>
      </c>
      <c r="G54" s="13">
        <f t="shared" si="2"/>
        <v>270197.74785071082</v>
      </c>
    </row>
    <row r="55" spans="3:7" x14ac:dyDescent="0.25">
      <c r="C55" s="12">
        <v>25</v>
      </c>
      <c r="D55" s="14">
        <f t="shared" si="3"/>
        <v>7843.6041614811438</v>
      </c>
      <c r="E55" s="13">
        <f t="shared" si="0"/>
        <v>1069.5327519090636</v>
      </c>
      <c r="F55" s="14">
        <f t="shared" si="1"/>
        <v>6774.0714095720805</v>
      </c>
      <c r="G55" s="13">
        <f t="shared" si="2"/>
        <v>263423.67644113873</v>
      </c>
    </row>
    <row r="56" spans="3:7" x14ac:dyDescent="0.25">
      <c r="C56" s="12">
        <v>26</v>
      </c>
      <c r="D56" s="14">
        <f t="shared" si="3"/>
        <v>7843.6041614811438</v>
      </c>
      <c r="E56" s="13">
        <f t="shared" si="0"/>
        <v>1042.718719246174</v>
      </c>
      <c r="F56" s="14">
        <f t="shared" si="1"/>
        <v>6800.8854422349696</v>
      </c>
      <c r="G56" s="13">
        <f t="shared" si="2"/>
        <v>256622.79099890374</v>
      </c>
    </row>
    <row r="57" spans="3:7" x14ac:dyDescent="0.25">
      <c r="C57" s="12">
        <v>27</v>
      </c>
      <c r="D57" s="14">
        <f t="shared" si="3"/>
        <v>7843.6041614811438</v>
      </c>
      <c r="E57" s="13">
        <f t="shared" si="0"/>
        <v>1015.7985477039939</v>
      </c>
      <c r="F57" s="14">
        <f t="shared" si="1"/>
        <v>6827.80561377715</v>
      </c>
      <c r="G57" s="13">
        <f t="shared" si="2"/>
        <v>249794.98538512658</v>
      </c>
    </row>
    <row r="58" spans="3:7" x14ac:dyDescent="0.25">
      <c r="C58" s="12">
        <v>28</v>
      </c>
      <c r="D58" s="14">
        <f t="shared" si="3"/>
        <v>7843.6041614811438</v>
      </c>
      <c r="E58" s="13">
        <f t="shared" si="0"/>
        <v>988.77181714945937</v>
      </c>
      <c r="F58" s="14">
        <f t="shared" si="1"/>
        <v>6854.832344331684</v>
      </c>
      <c r="G58" s="13">
        <f t="shared" si="2"/>
        <v>242940.15304079489</v>
      </c>
    </row>
    <row r="59" spans="3:7" x14ac:dyDescent="0.25">
      <c r="C59" s="12">
        <v>29</v>
      </c>
      <c r="D59" s="14">
        <f t="shared" si="3"/>
        <v>7843.6041614811438</v>
      </c>
      <c r="E59" s="13">
        <f t="shared" si="0"/>
        <v>961.63810578647974</v>
      </c>
      <c r="F59" s="14">
        <f t="shared" si="1"/>
        <v>6881.9660556946637</v>
      </c>
      <c r="G59" s="13">
        <f t="shared" si="2"/>
        <v>236058.18698510021</v>
      </c>
    </row>
    <row r="60" spans="3:7" x14ac:dyDescent="0.25">
      <c r="C60" s="12">
        <v>30</v>
      </c>
      <c r="D60" s="14">
        <f t="shared" si="3"/>
        <v>7843.6041614811438</v>
      </c>
      <c r="E60" s="13">
        <f t="shared" si="0"/>
        <v>934.39699014935502</v>
      </c>
      <c r="F60" s="14">
        <f t="shared" si="1"/>
        <v>6909.2071713317891</v>
      </c>
      <c r="G60" s="13">
        <f t="shared" si="2"/>
        <v>229148.97981376841</v>
      </c>
    </row>
    <row r="61" spans="3:7" x14ac:dyDescent="0.25">
      <c r="C61" s="12">
        <v>31</v>
      </c>
      <c r="D61" s="14">
        <f t="shared" si="3"/>
        <v>7843.6041614811438</v>
      </c>
      <c r="E61" s="13">
        <f t="shared" si="0"/>
        <v>907.04804509616667</v>
      </c>
      <c r="F61" s="14">
        <f t="shared" si="1"/>
        <v>6936.556116384977</v>
      </c>
      <c r="G61" s="13">
        <f t="shared" si="2"/>
        <v>222212.42369738343</v>
      </c>
    </row>
    <row r="62" spans="3:7" x14ac:dyDescent="0.25">
      <c r="C62" s="12">
        <v>32</v>
      </c>
      <c r="D62" s="14">
        <f t="shared" si="3"/>
        <v>7843.6041614811438</v>
      </c>
      <c r="E62" s="13">
        <f t="shared" si="0"/>
        <v>879.59084380214279</v>
      </c>
      <c r="F62" s="14">
        <f t="shared" si="1"/>
        <v>6964.0133176790014</v>
      </c>
      <c r="G62" s="13">
        <f t="shared" si="2"/>
        <v>215248.41037970444</v>
      </c>
    </row>
    <row r="63" spans="3:7" x14ac:dyDescent="0.25">
      <c r="C63" s="12">
        <v>33</v>
      </c>
      <c r="D63" s="14">
        <f t="shared" si="3"/>
        <v>7843.6041614811438</v>
      </c>
      <c r="E63" s="13">
        <f t="shared" ref="E63:E90" si="4">IF(C63&gt;Term*Periods,"",G62*Rate/Periods)</f>
        <v>852.02495775299667</v>
      </c>
      <c r="F63" s="14">
        <f t="shared" ref="F63:F90" si="5">IF(C63&gt;Term*Periods,"",D63-E63)</f>
        <v>6991.5792037281471</v>
      </c>
      <c r="G63" s="13">
        <f t="shared" ref="G63:G90" si="6">IF(C63&gt;Term*Periods,"",G62-F63)</f>
        <v>208256.83117597629</v>
      </c>
    </row>
    <row r="64" spans="3:7" x14ac:dyDescent="0.25">
      <c r="C64" s="12">
        <v>34</v>
      </c>
      <c r="D64" s="14">
        <f t="shared" ref="D64:D90" si="7">IF(C64&gt;Term*Periods,"",IF(C64=Term*Periods,$D$31+$F$24,$D$31))</f>
        <v>7843.6041614811438</v>
      </c>
      <c r="E64" s="13">
        <f t="shared" si="4"/>
        <v>824.34995673823948</v>
      </c>
      <c r="F64" s="14">
        <f t="shared" si="5"/>
        <v>7019.2542047429042</v>
      </c>
      <c r="G64" s="13">
        <f t="shared" si="6"/>
        <v>201237.57697123339</v>
      </c>
    </row>
    <row r="65" spans="3:7" x14ac:dyDescent="0.25">
      <c r="C65" s="12">
        <v>35</v>
      </c>
      <c r="D65" s="14">
        <f t="shared" si="7"/>
        <v>7843.6041614811438</v>
      </c>
      <c r="E65" s="13">
        <f t="shared" si="4"/>
        <v>796.56540884446542</v>
      </c>
      <c r="F65" s="14">
        <f t="shared" si="5"/>
        <v>7047.0387526366785</v>
      </c>
      <c r="G65" s="13">
        <f t="shared" si="6"/>
        <v>194190.53821859672</v>
      </c>
    </row>
    <row r="66" spans="3:7" x14ac:dyDescent="0.25">
      <c r="C66" s="12">
        <v>36</v>
      </c>
      <c r="D66" s="14">
        <f t="shared" si="7"/>
        <v>7843.6041614811438</v>
      </c>
      <c r="E66" s="13">
        <f t="shared" si="4"/>
        <v>768.67088044861202</v>
      </c>
      <c r="F66" s="14">
        <f t="shared" si="5"/>
        <v>7074.9332810325322</v>
      </c>
      <c r="G66" s="13">
        <f t="shared" si="6"/>
        <v>187115.60493756417</v>
      </c>
    </row>
    <row r="67" spans="3:7" x14ac:dyDescent="0.25">
      <c r="C67" s="12">
        <v>37</v>
      </c>
      <c r="D67" s="14">
        <f t="shared" si="7"/>
        <v>7843.6041614811438</v>
      </c>
      <c r="E67" s="13">
        <f t="shared" si="4"/>
        <v>740.66593621119148</v>
      </c>
      <c r="F67" s="14">
        <f t="shared" si="5"/>
        <v>7102.9382252699525</v>
      </c>
      <c r="G67" s="13">
        <f t="shared" si="6"/>
        <v>180012.66671229422</v>
      </c>
    </row>
    <row r="68" spans="3:7" x14ac:dyDescent="0.25">
      <c r="C68" s="12">
        <v>38</v>
      </c>
      <c r="D68" s="14">
        <f t="shared" si="7"/>
        <v>7843.6041614811438</v>
      </c>
      <c r="E68" s="13">
        <f t="shared" si="4"/>
        <v>712.55013906949796</v>
      </c>
      <c r="F68" s="14">
        <f t="shared" si="5"/>
        <v>7131.0540224116457</v>
      </c>
      <c r="G68" s="13">
        <f t="shared" si="6"/>
        <v>172881.61268988258</v>
      </c>
    </row>
    <row r="69" spans="3:7" x14ac:dyDescent="0.25">
      <c r="C69" s="12">
        <v>39</v>
      </c>
      <c r="D69" s="14">
        <f t="shared" si="7"/>
        <v>7843.6041614811438</v>
      </c>
      <c r="E69" s="13">
        <f t="shared" si="4"/>
        <v>684.32305023078516</v>
      </c>
      <c r="F69" s="14">
        <f t="shared" si="5"/>
        <v>7159.2811112503587</v>
      </c>
      <c r="G69" s="13">
        <f t="shared" si="6"/>
        <v>165722.33157863221</v>
      </c>
    </row>
    <row r="70" spans="3:7" x14ac:dyDescent="0.25">
      <c r="C70" s="12">
        <v>40</v>
      </c>
      <c r="D70" s="14">
        <f t="shared" si="7"/>
        <v>7843.6041614811438</v>
      </c>
      <c r="E70" s="13">
        <f t="shared" si="4"/>
        <v>655.98422916541915</v>
      </c>
      <c r="F70" s="14">
        <f t="shared" si="5"/>
        <v>7187.6199323157243</v>
      </c>
      <c r="G70" s="13">
        <f t="shared" si="6"/>
        <v>158534.71164631649</v>
      </c>
    </row>
    <row r="71" spans="3:7" x14ac:dyDescent="0.25">
      <c r="C71" s="12">
        <v>41</v>
      </c>
      <c r="D71" s="14">
        <f t="shared" si="7"/>
        <v>7843.6041614811438</v>
      </c>
      <c r="E71" s="13">
        <f t="shared" si="4"/>
        <v>627.53323360000275</v>
      </c>
      <c r="F71" s="14">
        <f t="shared" si="5"/>
        <v>7216.070927881141</v>
      </c>
      <c r="G71" s="13">
        <f t="shared" si="6"/>
        <v>151318.64071843534</v>
      </c>
    </row>
    <row r="72" spans="3:7" x14ac:dyDescent="0.25">
      <c r="C72" s="12">
        <v>42</v>
      </c>
      <c r="D72" s="14">
        <f t="shared" si="7"/>
        <v>7843.6041614811438</v>
      </c>
      <c r="E72" s="13">
        <f t="shared" si="4"/>
        <v>598.96961951047331</v>
      </c>
      <c r="F72" s="14">
        <f t="shared" si="5"/>
        <v>7244.6345419706704</v>
      </c>
      <c r="G72" s="13">
        <f t="shared" si="6"/>
        <v>144074.00617646467</v>
      </c>
    </row>
    <row r="73" spans="3:7" x14ac:dyDescent="0.25">
      <c r="C73" s="12">
        <v>43</v>
      </c>
      <c r="D73" s="14">
        <f t="shared" si="7"/>
        <v>7843.6041614811438</v>
      </c>
      <c r="E73" s="13">
        <f t="shared" si="4"/>
        <v>570.29294111517265</v>
      </c>
      <c r="F73" s="14">
        <f t="shared" si="5"/>
        <v>7273.3112203659712</v>
      </c>
      <c r="G73" s="13">
        <f t="shared" si="6"/>
        <v>136800.69495609868</v>
      </c>
    </row>
    <row r="74" spans="3:7" x14ac:dyDescent="0.25">
      <c r="C74" s="12">
        <v>44</v>
      </c>
      <c r="D74" s="14">
        <f t="shared" si="7"/>
        <v>7843.6041614811438</v>
      </c>
      <c r="E74" s="13">
        <f t="shared" si="4"/>
        <v>541.50275086789065</v>
      </c>
      <c r="F74" s="14">
        <f t="shared" si="5"/>
        <v>7302.1014106132534</v>
      </c>
      <c r="G74" s="13">
        <f t="shared" si="6"/>
        <v>129498.59354548543</v>
      </c>
    </row>
    <row r="75" spans="3:7" x14ac:dyDescent="0.25">
      <c r="C75" s="12">
        <v>45</v>
      </c>
      <c r="D75" s="14">
        <f t="shared" si="7"/>
        <v>7843.6041614811438</v>
      </c>
      <c r="E75" s="13">
        <f t="shared" si="4"/>
        <v>512.59859945087987</v>
      </c>
      <c r="F75" s="14">
        <f t="shared" si="5"/>
        <v>7331.0055620302637</v>
      </c>
      <c r="G75" s="13">
        <f t="shared" si="6"/>
        <v>122167.58798345517</v>
      </c>
    </row>
    <row r="76" spans="3:7" x14ac:dyDescent="0.25">
      <c r="C76" s="12">
        <v>46</v>
      </c>
      <c r="D76" s="14">
        <f t="shared" si="7"/>
        <v>7843.6041614811438</v>
      </c>
      <c r="E76" s="13">
        <f t="shared" si="4"/>
        <v>483.58003576784341</v>
      </c>
      <c r="F76" s="14">
        <f t="shared" si="5"/>
        <v>7360.0241257133002</v>
      </c>
      <c r="G76" s="13">
        <f t="shared" si="6"/>
        <v>114807.56385774187</v>
      </c>
    </row>
    <row r="77" spans="3:7" x14ac:dyDescent="0.25">
      <c r="C77" s="12">
        <v>47</v>
      </c>
      <c r="D77" s="14">
        <f t="shared" si="7"/>
        <v>7843.6041614811438</v>
      </c>
      <c r="E77" s="13">
        <f t="shared" si="4"/>
        <v>454.44660693689497</v>
      </c>
      <c r="F77" s="14">
        <f t="shared" si="5"/>
        <v>7389.1575545442493</v>
      </c>
      <c r="G77" s="13">
        <f t="shared" si="6"/>
        <v>107418.40630319763</v>
      </c>
    </row>
    <row r="78" spans="3:7" x14ac:dyDescent="0.25">
      <c r="C78" s="12">
        <v>48</v>
      </c>
      <c r="D78" s="14">
        <f t="shared" si="7"/>
        <v>107843.60416148114</v>
      </c>
      <c r="E78" s="13">
        <f t="shared" si="4"/>
        <v>425.19785828349063</v>
      </c>
      <c r="F78" s="14">
        <f t="shared" si="5"/>
        <v>107418.40630319765</v>
      </c>
      <c r="G78" s="13">
        <f t="shared" si="6"/>
        <v>-2.9103830456733704E-11</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xr:uid="{00000000-0002-0000-0100-000000000000}">
      <formula1>$N$21:$N$23</formula1>
    </dataValidation>
    <dataValidation type="list" allowBlank="1" showInputMessage="1" showErrorMessage="1" prompt="Select a value from the drop-down list._x000a_" sqref="F22" xr:uid="{00000000-0002-0000-0100-000001000000}">
      <formula1>$P$21:$P$25</formula1>
    </dataValidation>
    <dataValidation type="whole" operator="greaterThan" allowBlank="1" showInputMessage="1" showErrorMessage="1" prompt="This value must be a positive number greater than zero." sqref="F21" xr:uid="{00000000-0002-0000-0100-000002000000}">
      <formula1>0</formula1>
    </dataValidation>
    <dataValidation type="decimal" allowBlank="1" showInputMessage="1" showErrorMessage="1" prompt="This interest rate must be between 5% and 15%." sqref="F23" xr:uid="{00000000-0002-0000-0100-000003000000}">
      <formula1>0.02</formula1>
      <formula2>0.1</formula2>
    </dataValidation>
    <dataValidation type="whole" allowBlank="1" showInputMessage="1" showErrorMessage="1" prompt="This input must be between zero and the total amount of the loan." sqref="F24" xr:uid="{00000000-0002-0000-0100-000004000000}">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31"/>
  <sheetViews>
    <sheetView zoomScale="115" zoomScaleNormal="115" workbookViewId="0"/>
  </sheetViews>
  <sheetFormatPr defaultColWidth="8.7109375" defaultRowHeight="15" x14ac:dyDescent="0.25"/>
  <cols>
    <col min="1" max="1" width="8.7109375" style="40"/>
    <col min="2" max="2" width="29.28515625" style="40" customWidth="1"/>
    <col min="3" max="3" width="12.7109375" style="40" customWidth="1"/>
    <col min="4" max="4" width="2.5703125" style="40" customWidth="1"/>
    <col min="5" max="5" width="15.7109375" style="40" customWidth="1"/>
    <col min="6" max="6" width="26.5703125" style="40" customWidth="1"/>
    <col min="7" max="7" width="18.42578125" style="40" customWidth="1"/>
    <col min="8" max="16384" width="8.7109375" style="40"/>
  </cols>
  <sheetData>
    <row r="3" ht="8.4499999999999993" customHeight="1" x14ac:dyDescent="0.25"/>
    <row r="18" spans="2:7" ht="15.75" thickBot="1" x14ac:dyDescent="0.3">
      <c r="B18" s="40" t="s">
        <v>62</v>
      </c>
      <c r="C18" s="41">
        <v>425000</v>
      </c>
      <c r="E18" s="40" t="s">
        <v>82</v>
      </c>
    </row>
    <row r="19" spans="2:7" ht="15.75" thickBot="1" x14ac:dyDescent="0.3">
      <c r="B19" s="40" t="s">
        <v>63</v>
      </c>
      <c r="C19" s="39">
        <v>10</v>
      </c>
      <c r="E19" s="40" t="s">
        <v>83</v>
      </c>
      <c r="G19" s="46">
        <f>PMT(C20/12,C19*12,-C18)</f>
        <v>4456.0290935138464</v>
      </c>
    </row>
    <row r="20" spans="2:7" x14ac:dyDescent="0.25">
      <c r="B20" s="40" t="s">
        <v>16</v>
      </c>
      <c r="C20" s="49">
        <v>4.7500000000000001E-2</v>
      </c>
    </row>
    <row r="21" spans="2:7" x14ac:dyDescent="0.25">
      <c r="B21" s="40" t="s">
        <v>64</v>
      </c>
      <c r="C21" s="41">
        <v>1000</v>
      </c>
      <c r="E21" s="40" t="s">
        <v>81</v>
      </c>
    </row>
    <row r="22" spans="2:7" ht="15.75" thickBot="1" x14ac:dyDescent="0.3">
      <c r="E22" s="40" t="s">
        <v>65</v>
      </c>
    </row>
    <row r="23" spans="2:7" ht="15.75" thickBot="1" x14ac:dyDescent="0.3">
      <c r="E23" s="40" t="s">
        <v>84</v>
      </c>
      <c r="G23" s="72">
        <f>NPER(C20/12,G19+C21,-C18)</f>
        <v>93.31819772561029</v>
      </c>
    </row>
    <row r="25" spans="2:7" x14ac:dyDescent="0.25">
      <c r="E25" s="40" t="s">
        <v>66</v>
      </c>
    </row>
    <row r="26" spans="2:7" x14ac:dyDescent="0.25">
      <c r="E26" s="40" t="s">
        <v>67</v>
      </c>
    </row>
    <row r="27" spans="2:7" x14ac:dyDescent="0.25">
      <c r="E27" s="40" t="s">
        <v>68</v>
      </c>
    </row>
    <row r="28" spans="2:7" x14ac:dyDescent="0.25">
      <c r="E28" s="40" t="s">
        <v>69</v>
      </c>
    </row>
    <row r="29" spans="2:7" x14ac:dyDescent="0.25">
      <c r="E29" s="40" t="s">
        <v>70</v>
      </c>
    </row>
    <row r="30" spans="2:7" ht="15.75" thickBot="1" x14ac:dyDescent="0.3">
      <c r="E30" s="40" t="s">
        <v>71</v>
      </c>
    </row>
    <row r="31" spans="2:7" ht="15.75" thickBot="1" x14ac:dyDescent="0.3">
      <c r="E31" s="40" t="s">
        <v>72</v>
      </c>
      <c r="G31" s="5">
        <f>(G19*C19*12)-(G23*(G19+C21))</f>
        <v>25576.689476454165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86"/>
  <sheetViews>
    <sheetView zoomScaleNormal="100" workbookViewId="0"/>
  </sheetViews>
  <sheetFormatPr defaultRowHeight="15" x14ac:dyDescent="0.25"/>
  <cols>
    <col min="1" max="1" width="4.42578125" customWidth="1"/>
    <col min="7" max="7" width="16.85546875" customWidth="1"/>
    <col min="8" max="8" width="16.7109375" customWidth="1"/>
    <col min="9" max="9" width="10.5703125" customWidth="1"/>
    <col min="13" max="13" width="11.7109375" customWidth="1"/>
    <col min="14" max="14" width="17" style="71" customWidth="1"/>
    <col min="15" max="15" width="14.42578125" customWidth="1"/>
    <col min="16" max="16" width="15.140625" customWidth="1"/>
  </cols>
  <sheetData>
    <row r="2" spans="2:16" x14ac:dyDescent="0.25">
      <c r="B2" t="s">
        <v>106</v>
      </c>
    </row>
    <row r="3" spans="2:16" x14ac:dyDescent="0.25">
      <c r="B3" t="s">
        <v>267</v>
      </c>
    </row>
    <row r="4" spans="2:16" x14ac:dyDescent="0.25">
      <c r="B4" t="s">
        <v>245</v>
      </c>
    </row>
    <row r="5" spans="2:16" ht="24" customHeight="1" x14ac:dyDescent="0.25">
      <c r="B5" t="s">
        <v>268</v>
      </c>
    </row>
    <row r="6" spans="2:16" x14ac:dyDescent="0.25">
      <c r="B6" t="s">
        <v>269</v>
      </c>
    </row>
    <row r="7" spans="2:16" x14ac:dyDescent="0.25">
      <c r="B7" t="s">
        <v>270</v>
      </c>
    </row>
    <row r="8" spans="2:16" x14ac:dyDescent="0.25">
      <c r="B8" t="s">
        <v>233</v>
      </c>
    </row>
    <row r="9" spans="2:16" ht="9" customHeight="1" x14ac:dyDescent="0.25"/>
    <row r="10" spans="2:16" x14ac:dyDescent="0.25">
      <c r="B10" t="s">
        <v>190</v>
      </c>
    </row>
    <row r="11" spans="2:16" x14ac:dyDescent="0.25">
      <c r="B11" t="s">
        <v>191</v>
      </c>
    </row>
    <row r="12" spans="2:16" x14ac:dyDescent="0.25">
      <c r="B12" t="s">
        <v>192</v>
      </c>
      <c r="O12" s="16"/>
      <c r="P12" s="16"/>
    </row>
    <row r="13" spans="2:16" ht="8.65" customHeight="1" x14ac:dyDescent="0.25">
      <c r="O13" s="16"/>
      <c r="P13" s="16"/>
    </row>
    <row r="14" spans="2:16" x14ac:dyDescent="0.25">
      <c r="B14" t="s">
        <v>107</v>
      </c>
      <c r="O14" s="16"/>
      <c r="P14" s="16"/>
    </row>
    <row r="15" spans="2:16" x14ac:dyDescent="0.25">
      <c r="B15" t="s">
        <v>108</v>
      </c>
      <c r="O15" s="16"/>
      <c r="P15" s="16"/>
    </row>
    <row r="16" spans="2:16" ht="15.75" thickBot="1" x14ac:dyDescent="0.3">
      <c r="O16" s="16"/>
      <c r="P16" s="16"/>
    </row>
    <row r="17" spans="2:16" ht="15.75" thickBot="1" x14ac:dyDescent="0.3">
      <c r="C17" t="s">
        <v>109</v>
      </c>
      <c r="H17" s="51">
        <v>3.2000000000000001E-2</v>
      </c>
      <c r="O17" s="16" t="s">
        <v>184</v>
      </c>
      <c r="P17" s="16" t="s">
        <v>186</v>
      </c>
    </row>
    <row r="18" spans="2:16" ht="15.75" thickBot="1" x14ac:dyDescent="0.3">
      <c r="B18" s="8"/>
      <c r="C18" s="8"/>
      <c r="D18" s="8"/>
      <c r="E18" s="8"/>
      <c r="F18" s="8"/>
      <c r="G18" s="8"/>
      <c r="H18" s="8"/>
      <c r="I18" s="8"/>
      <c r="J18" s="8"/>
      <c r="K18" s="8"/>
      <c r="L18" s="16" t="s">
        <v>208</v>
      </c>
      <c r="M18" s="16" t="s">
        <v>187</v>
      </c>
      <c r="N18" s="16" t="s">
        <v>188</v>
      </c>
      <c r="O18" s="16" t="s">
        <v>185</v>
      </c>
      <c r="P18" s="16" t="s">
        <v>14</v>
      </c>
    </row>
    <row r="19" spans="2:16" ht="15.75" thickBot="1" x14ac:dyDescent="0.3">
      <c r="B19" s="123" t="s">
        <v>110</v>
      </c>
      <c r="C19" s="123"/>
      <c r="D19" s="123"/>
      <c r="E19" s="123"/>
      <c r="F19" s="123"/>
      <c r="G19" s="123"/>
      <c r="H19" s="123"/>
      <c r="I19" s="123"/>
      <c r="J19" s="123"/>
      <c r="K19" s="123"/>
      <c r="L19">
        <v>0</v>
      </c>
      <c r="M19" s="70">
        <v>43831</v>
      </c>
      <c r="N19" s="71" t="s">
        <v>139</v>
      </c>
      <c r="O19" s="4">
        <v>25000</v>
      </c>
      <c r="P19" s="4">
        <f>O19</f>
        <v>25000</v>
      </c>
    </row>
    <row r="20" spans="2:16" x14ac:dyDescent="0.25">
      <c r="L20">
        <v>1</v>
      </c>
      <c r="M20" s="70">
        <v>44197</v>
      </c>
      <c r="N20" s="71" t="s">
        <v>140</v>
      </c>
      <c r="O20" s="4">
        <f>H27</f>
        <v>76963.001052139691</v>
      </c>
      <c r="P20" s="4">
        <f>O20+(P19*(1+$H$17))</f>
        <v>102763.00105213969</v>
      </c>
    </row>
    <row r="21" spans="2:16" x14ac:dyDescent="0.25">
      <c r="C21" s="38" t="s">
        <v>111</v>
      </c>
      <c r="D21" t="s">
        <v>271</v>
      </c>
      <c r="H21" s="4">
        <f>-PV(H17,30,200000,500000)</f>
        <v>4015003.0955564505</v>
      </c>
      <c r="L21">
        <v>2</v>
      </c>
      <c r="M21" s="70">
        <v>44562</v>
      </c>
      <c r="N21" s="71" t="s">
        <v>141</v>
      </c>
      <c r="O21" s="4">
        <f t="shared" ref="O21:O48" si="0">O20</f>
        <v>76963.001052139691</v>
      </c>
      <c r="P21" s="4">
        <f t="shared" ref="P21:P81" si="1">O21+(P20*(1+$H$17))</f>
        <v>183014.41813794785</v>
      </c>
    </row>
    <row r="22" spans="2:16" x14ac:dyDescent="0.25">
      <c r="L22">
        <v>3</v>
      </c>
      <c r="M22" s="70">
        <v>44927</v>
      </c>
      <c r="N22" s="71" t="s">
        <v>142</v>
      </c>
      <c r="O22" s="4">
        <f t="shared" si="0"/>
        <v>76963.001052139691</v>
      </c>
      <c r="P22" s="4">
        <f t="shared" si="1"/>
        <v>265833.8805705019</v>
      </c>
    </row>
    <row r="23" spans="2:16" x14ac:dyDescent="0.25">
      <c r="C23" s="38" t="s">
        <v>112</v>
      </c>
      <c r="D23" t="s">
        <v>272</v>
      </c>
      <c r="H23" s="4">
        <f>-PV(H17,32,0,H21)</f>
        <v>1465330.4387506654</v>
      </c>
      <c r="L23">
        <v>4</v>
      </c>
      <c r="M23" s="70">
        <v>45292</v>
      </c>
      <c r="N23" s="71" t="s">
        <v>143</v>
      </c>
      <c r="O23" s="4">
        <f t="shared" si="0"/>
        <v>76963.001052139691</v>
      </c>
      <c r="P23" s="4">
        <f t="shared" si="1"/>
        <v>351303.56580089766</v>
      </c>
    </row>
    <row r="24" spans="2:16" x14ac:dyDescent="0.25">
      <c r="L24">
        <v>5</v>
      </c>
      <c r="M24" s="70">
        <v>45658</v>
      </c>
      <c r="N24" s="71" t="s">
        <v>144</v>
      </c>
      <c r="O24" s="4">
        <f t="shared" si="0"/>
        <v>76963.001052139691</v>
      </c>
      <c r="P24" s="4">
        <f t="shared" si="1"/>
        <v>439508.28095866606</v>
      </c>
    </row>
    <row r="25" spans="2:16" x14ac:dyDescent="0.25">
      <c r="C25" t="s">
        <v>113</v>
      </c>
      <c r="D25" t="s">
        <v>193</v>
      </c>
      <c r="H25" s="4">
        <f>H23-25000</f>
        <v>1440330.4387506654</v>
      </c>
      <c r="L25">
        <v>6</v>
      </c>
      <c r="M25" s="70">
        <v>46023</v>
      </c>
      <c r="N25" s="71" t="s">
        <v>145</v>
      </c>
      <c r="O25" s="4">
        <f t="shared" si="0"/>
        <v>76963.001052139691</v>
      </c>
      <c r="P25" s="4">
        <f t="shared" si="1"/>
        <v>530535.54700148304</v>
      </c>
    </row>
    <row r="26" spans="2:16" x14ac:dyDescent="0.25">
      <c r="L26">
        <v>7</v>
      </c>
      <c r="M26" s="70">
        <v>46388</v>
      </c>
      <c r="N26" s="71" t="s">
        <v>146</v>
      </c>
      <c r="O26" s="4">
        <f t="shared" si="0"/>
        <v>76963.001052139691</v>
      </c>
      <c r="P26" s="4">
        <f t="shared" si="1"/>
        <v>624475.68555767019</v>
      </c>
    </row>
    <row r="27" spans="2:16" x14ac:dyDescent="0.25">
      <c r="C27" s="38" t="s">
        <v>248</v>
      </c>
      <c r="D27" t="s">
        <v>273</v>
      </c>
      <c r="H27" s="4">
        <f>PMT(H17,29,-H25,0)</f>
        <v>76963.001052139691</v>
      </c>
      <c r="I27" s="38" t="s">
        <v>114</v>
      </c>
      <c r="L27">
        <v>8</v>
      </c>
      <c r="M27" s="70">
        <v>46753</v>
      </c>
      <c r="N27" s="71" t="s">
        <v>147</v>
      </c>
      <c r="O27" s="4">
        <f t="shared" si="0"/>
        <v>76963.001052139691</v>
      </c>
      <c r="P27" s="4">
        <f t="shared" si="1"/>
        <v>721421.90854765533</v>
      </c>
    </row>
    <row r="28" spans="2:16" x14ac:dyDescent="0.25">
      <c r="D28" t="s">
        <v>194</v>
      </c>
      <c r="L28">
        <v>9</v>
      </c>
      <c r="M28" s="70">
        <v>47119</v>
      </c>
      <c r="N28" s="71" t="s">
        <v>148</v>
      </c>
      <c r="O28" s="4">
        <f t="shared" si="0"/>
        <v>76963.001052139691</v>
      </c>
      <c r="P28" s="4">
        <f t="shared" si="1"/>
        <v>821470.41067331994</v>
      </c>
    </row>
    <row r="29" spans="2:16" x14ac:dyDescent="0.25">
      <c r="L29">
        <v>10</v>
      </c>
      <c r="M29" s="70">
        <v>47484</v>
      </c>
      <c r="N29" s="71" t="s">
        <v>149</v>
      </c>
      <c r="O29" s="4">
        <f t="shared" si="0"/>
        <v>76963.001052139691</v>
      </c>
      <c r="P29" s="4">
        <f t="shared" si="1"/>
        <v>924720.46486700594</v>
      </c>
    </row>
    <row r="30" spans="2:16" x14ac:dyDescent="0.25">
      <c r="L30">
        <v>11</v>
      </c>
      <c r="M30" s="70">
        <v>47849</v>
      </c>
      <c r="N30" s="71" t="s">
        <v>150</v>
      </c>
      <c r="O30" s="4">
        <f t="shared" si="0"/>
        <v>76963.001052139691</v>
      </c>
      <c r="P30" s="4">
        <f t="shared" si="1"/>
        <v>1031274.5207948899</v>
      </c>
    </row>
    <row r="31" spans="2:16" x14ac:dyDescent="0.25">
      <c r="L31">
        <v>12</v>
      </c>
      <c r="M31" s="70">
        <v>48214</v>
      </c>
      <c r="N31" s="71" t="s">
        <v>151</v>
      </c>
      <c r="O31" s="4">
        <f t="shared" si="0"/>
        <v>76963.001052139691</v>
      </c>
      <c r="P31" s="4">
        <f t="shared" si="1"/>
        <v>1141238.3065124662</v>
      </c>
    </row>
    <row r="32" spans="2:16" x14ac:dyDescent="0.25">
      <c r="L32">
        <v>13</v>
      </c>
      <c r="M32" s="70">
        <v>48580</v>
      </c>
      <c r="N32" s="71" t="s">
        <v>152</v>
      </c>
      <c r="O32" s="4">
        <f t="shared" si="0"/>
        <v>76963.001052139691</v>
      </c>
      <c r="P32" s="4">
        <f t="shared" si="1"/>
        <v>1254720.9333730049</v>
      </c>
    </row>
    <row r="33" spans="12:16" x14ac:dyDescent="0.25">
      <c r="L33">
        <v>14</v>
      </c>
      <c r="M33" s="70">
        <v>48945</v>
      </c>
      <c r="N33" s="71" t="s">
        <v>153</v>
      </c>
      <c r="O33" s="4">
        <f t="shared" si="0"/>
        <v>76963.001052139691</v>
      </c>
      <c r="P33" s="4">
        <f t="shared" si="1"/>
        <v>1371835.0042930809</v>
      </c>
    </row>
    <row r="34" spans="12:16" x14ac:dyDescent="0.25">
      <c r="L34">
        <v>15</v>
      </c>
      <c r="M34" s="70">
        <v>49310</v>
      </c>
      <c r="N34" s="71" t="s">
        <v>154</v>
      </c>
      <c r="O34" s="4">
        <f t="shared" si="0"/>
        <v>76963.001052139691</v>
      </c>
      <c r="P34" s="4">
        <f t="shared" si="1"/>
        <v>1492696.7254825993</v>
      </c>
    </row>
    <row r="35" spans="12:16" x14ac:dyDescent="0.25">
      <c r="L35">
        <v>16</v>
      </c>
      <c r="M35" s="70">
        <v>49675</v>
      </c>
      <c r="N35" s="71" t="s">
        <v>155</v>
      </c>
      <c r="O35" s="4">
        <f t="shared" si="0"/>
        <v>76963.001052139691</v>
      </c>
      <c r="P35" s="4">
        <f t="shared" si="1"/>
        <v>1617426.0217501824</v>
      </c>
    </row>
    <row r="36" spans="12:16" x14ac:dyDescent="0.25">
      <c r="L36">
        <v>17</v>
      </c>
      <c r="M36" s="70">
        <v>50041</v>
      </c>
      <c r="N36" s="71" t="s">
        <v>156</v>
      </c>
      <c r="O36" s="4">
        <f t="shared" si="0"/>
        <v>76963.001052139691</v>
      </c>
      <c r="P36" s="4">
        <f t="shared" si="1"/>
        <v>1746146.6554983282</v>
      </c>
    </row>
    <row r="37" spans="12:16" x14ac:dyDescent="0.25">
      <c r="L37">
        <v>18</v>
      </c>
      <c r="M37" s="70">
        <v>50406</v>
      </c>
      <c r="N37" s="71" t="s">
        <v>157</v>
      </c>
      <c r="O37" s="4">
        <f t="shared" si="0"/>
        <v>76963.001052139691</v>
      </c>
      <c r="P37" s="4">
        <f t="shared" si="1"/>
        <v>1878986.3495264144</v>
      </c>
    </row>
    <row r="38" spans="12:16" x14ac:dyDescent="0.25">
      <c r="L38">
        <v>19</v>
      </c>
      <c r="M38" s="70">
        <v>50771</v>
      </c>
      <c r="N38" s="71" t="s">
        <v>158</v>
      </c>
      <c r="O38" s="4">
        <f t="shared" si="0"/>
        <v>76963.001052139691</v>
      </c>
      <c r="P38" s="4">
        <f t="shared" si="1"/>
        <v>2016076.9137633995</v>
      </c>
    </row>
    <row r="39" spans="12:16" x14ac:dyDescent="0.25">
      <c r="L39">
        <v>20</v>
      </c>
      <c r="M39" s="70">
        <v>51136</v>
      </c>
      <c r="N39" s="71" t="s">
        <v>159</v>
      </c>
      <c r="O39" s="4">
        <f t="shared" si="0"/>
        <v>76963.001052139691</v>
      </c>
      <c r="P39" s="4">
        <f t="shared" si="1"/>
        <v>2157554.376055968</v>
      </c>
    </row>
    <row r="40" spans="12:16" x14ac:dyDescent="0.25">
      <c r="L40">
        <v>21</v>
      </c>
      <c r="M40" s="70">
        <v>51502</v>
      </c>
      <c r="N40" s="71" t="s">
        <v>160</v>
      </c>
      <c r="O40" s="4">
        <f t="shared" si="0"/>
        <v>76963.001052139691</v>
      </c>
      <c r="P40" s="4">
        <f t="shared" si="1"/>
        <v>2303559.1171418987</v>
      </c>
    </row>
    <row r="41" spans="12:16" x14ac:dyDescent="0.25">
      <c r="L41">
        <v>22</v>
      </c>
      <c r="M41" s="70">
        <v>51867</v>
      </c>
      <c r="N41" s="71" t="s">
        <v>161</v>
      </c>
      <c r="O41" s="4">
        <f t="shared" si="0"/>
        <v>76963.001052139691</v>
      </c>
      <c r="P41" s="4">
        <f t="shared" si="1"/>
        <v>2454236.0099425795</v>
      </c>
    </row>
    <row r="42" spans="12:16" x14ac:dyDescent="0.25">
      <c r="L42">
        <v>23</v>
      </c>
      <c r="M42" s="70">
        <v>52232</v>
      </c>
      <c r="N42" s="71" t="s">
        <v>162</v>
      </c>
      <c r="O42" s="4">
        <f t="shared" si="0"/>
        <v>76963.001052139691</v>
      </c>
      <c r="P42" s="4">
        <f t="shared" si="1"/>
        <v>2609734.5633128821</v>
      </c>
    </row>
    <row r="43" spans="12:16" x14ac:dyDescent="0.25">
      <c r="L43">
        <v>24</v>
      </c>
      <c r="M43" s="70">
        <v>52597</v>
      </c>
      <c r="N43" s="71" t="s">
        <v>163</v>
      </c>
      <c r="O43" s="4">
        <f t="shared" si="0"/>
        <v>76963.001052139691</v>
      </c>
      <c r="P43" s="4">
        <f t="shared" si="1"/>
        <v>2770209.0703910342</v>
      </c>
    </row>
    <row r="44" spans="12:16" x14ac:dyDescent="0.25">
      <c r="L44">
        <v>25</v>
      </c>
      <c r="M44" s="70">
        <v>52963</v>
      </c>
      <c r="N44" s="71" t="s">
        <v>274</v>
      </c>
      <c r="O44" s="4">
        <f t="shared" si="0"/>
        <v>76963.001052139691</v>
      </c>
      <c r="P44" s="4">
        <f t="shared" si="1"/>
        <v>2935818.7616956872</v>
      </c>
    </row>
    <row r="45" spans="12:16" x14ac:dyDescent="0.25">
      <c r="L45">
        <v>26</v>
      </c>
      <c r="M45" s="70">
        <v>53328</v>
      </c>
      <c r="N45" s="71" t="s">
        <v>275</v>
      </c>
      <c r="O45" s="4">
        <f t="shared" si="0"/>
        <v>76963.001052139691</v>
      </c>
      <c r="P45" s="4">
        <f t="shared" si="1"/>
        <v>3106727.9631220889</v>
      </c>
    </row>
    <row r="46" spans="12:16" x14ac:dyDescent="0.25">
      <c r="L46">
        <v>27</v>
      </c>
      <c r="M46" s="70">
        <v>53693</v>
      </c>
      <c r="N46" s="71" t="s">
        <v>276</v>
      </c>
      <c r="O46" s="4">
        <f t="shared" si="0"/>
        <v>76963.001052139691</v>
      </c>
      <c r="P46" s="4">
        <f t="shared" si="1"/>
        <v>3283106.2589941355</v>
      </c>
    </row>
    <row r="47" spans="12:16" x14ac:dyDescent="0.25">
      <c r="L47">
        <v>28</v>
      </c>
      <c r="M47" s="70">
        <v>54058</v>
      </c>
      <c r="N47" s="71" t="s">
        <v>277</v>
      </c>
      <c r="O47" s="4">
        <f t="shared" si="0"/>
        <v>76963.001052139691</v>
      </c>
      <c r="P47" s="4">
        <f t="shared" si="1"/>
        <v>3465128.6603340879</v>
      </c>
    </row>
    <row r="48" spans="12:16" x14ac:dyDescent="0.25">
      <c r="L48">
        <v>29</v>
      </c>
      <c r="M48" s="70">
        <v>54424</v>
      </c>
      <c r="N48" s="71" t="s">
        <v>278</v>
      </c>
      <c r="O48" s="4">
        <f t="shared" si="0"/>
        <v>76963.001052139691</v>
      </c>
      <c r="P48" s="4">
        <f t="shared" si="1"/>
        <v>3652975.7785169184</v>
      </c>
    </row>
    <row r="49" spans="8:16" x14ac:dyDescent="0.25">
      <c r="L49">
        <v>30</v>
      </c>
      <c r="M49" s="70">
        <v>54789</v>
      </c>
      <c r="N49" s="71" t="s">
        <v>189</v>
      </c>
      <c r="O49" s="4">
        <v>0</v>
      </c>
      <c r="P49" s="4">
        <f t="shared" si="1"/>
        <v>3769871.0034294599</v>
      </c>
    </row>
    <row r="50" spans="8:16" x14ac:dyDescent="0.25">
      <c r="L50">
        <v>31</v>
      </c>
      <c r="M50" s="70">
        <v>55154</v>
      </c>
      <c r="N50" s="71" t="s">
        <v>189</v>
      </c>
      <c r="O50" s="4">
        <v>0</v>
      </c>
      <c r="P50" s="4">
        <f t="shared" si="1"/>
        <v>3890506.8755392027</v>
      </c>
    </row>
    <row r="51" spans="8:16" x14ac:dyDescent="0.25">
      <c r="L51">
        <v>32</v>
      </c>
      <c r="M51" s="70">
        <v>55519</v>
      </c>
      <c r="N51" s="71" t="s">
        <v>189</v>
      </c>
      <c r="O51" s="4">
        <v>0</v>
      </c>
      <c r="P51" s="4">
        <f t="shared" si="1"/>
        <v>4015003.0955564575</v>
      </c>
    </row>
    <row r="52" spans="8:16" x14ac:dyDescent="0.25">
      <c r="L52">
        <v>33</v>
      </c>
      <c r="M52" s="70">
        <v>55885</v>
      </c>
      <c r="N52" s="71" t="s">
        <v>164</v>
      </c>
      <c r="O52" s="4">
        <v>-200000</v>
      </c>
      <c r="P52" s="4">
        <f t="shared" si="1"/>
        <v>3943483.1946142642</v>
      </c>
    </row>
    <row r="53" spans="8:16" x14ac:dyDescent="0.25">
      <c r="L53">
        <v>34</v>
      </c>
      <c r="M53" s="70">
        <v>56250</v>
      </c>
      <c r="N53" s="71" t="s">
        <v>165</v>
      </c>
      <c r="O53" s="4">
        <v>-200000</v>
      </c>
      <c r="P53" s="4">
        <f t="shared" si="1"/>
        <v>3869674.6568419207</v>
      </c>
    </row>
    <row r="54" spans="8:16" x14ac:dyDescent="0.25">
      <c r="L54">
        <v>35</v>
      </c>
      <c r="M54" s="70">
        <v>56615</v>
      </c>
      <c r="N54" s="71" t="s">
        <v>166</v>
      </c>
      <c r="O54" s="4">
        <v>-200000</v>
      </c>
      <c r="P54" s="4">
        <f t="shared" si="1"/>
        <v>3793504.2458608621</v>
      </c>
    </row>
    <row r="55" spans="8:16" x14ac:dyDescent="0.25">
      <c r="L55">
        <v>36</v>
      </c>
      <c r="M55" s="70">
        <v>56980</v>
      </c>
      <c r="N55" s="71" t="s">
        <v>167</v>
      </c>
      <c r="O55" s="4">
        <v>-200000</v>
      </c>
      <c r="P55" s="4">
        <f t="shared" si="1"/>
        <v>3714896.3817284098</v>
      </c>
    </row>
    <row r="56" spans="8:16" x14ac:dyDescent="0.25">
      <c r="H56" s="4"/>
      <c r="L56">
        <v>37</v>
      </c>
      <c r="M56" s="70">
        <v>57346</v>
      </c>
      <c r="N56" s="71" t="s">
        <v>168</v>
      </c>
      <c r="O56" s="4">
        <v>-200000</v>
      </c>
      <c r="P56" s="4">
        <f t="shared" si="1"/>
        <v>3633773.0659437189</v>
      </c>
    </row>
    <row r="57" spans="8:16" x14ac:dyDescent="0.25">
      <c r="L57">
        <v>38</v>
      </c>
      <c r="M57" s="70">
        <v>57711</v>
      </c>
      <c r="N57" s="71" t="s">
        <v>169</v>
      </c>
      <c r="O57" s="4">
        <v>-200000</v>
      </c>
      <c r="P57" s="4">
        <f t="shared" si="1"/>
        <v>3550053.804053918</v>
      </c>
    </row>
    <row r="58" spans="8:16" x14ac:dyDescent="0.25">
      <c r="L58">
        <v>39</v>
      </c>
      <c r="M58" s="70">
        <v>58076</v>
      </c>
      <c r="N58" s="71" t="s">
        <v>170</v>
      </c>
      <c r="O58" s="4">
        <v>-200000</v>
      </c>
      <c r="P58" s="4">
        <f t="shared" si="1"/>
        <v>3463655.5257836436</v>
      </c>
    </row>
    <row r="59" spans="8:16" x14ac:dyDescent="0.25">
      <c r="L59">
        <v>40</v>
      </c>
      <c r="M59" s="70">
        <v>58441</v>
      </c>
      <c r="N59" s="71" t="s">
        <v>171</v>
      </c>
      <c r="O59" s="4">
        <v>-200000</v>
      </c>
      <c r="P59" s="4">
        <f t="shared" si="1"/>
        <v>3374492.5026087202</v>
      </c>
    </row>
    <row r="60" spans="8:16" x14ac:dyDescent="0.25">
      <c r="L60">
        <v>41</v>
      </c>
      <c r="M60" s="70">
        <v>58807</v>
      </c>
      <c r="N60" s="71" t="s">
        <v>172</v>
      </c>
      <c r="O60" s="4">
        <v>-200000</v>
      </c>
      <c r="P60" s="4">
        <f t="shared" si="1"/>
        <v>3282476.2626921996</v>
      </c>
    </row>
    <row r="61" spans="8:16" x14ac:dyDescent="0.25">
      <c r="L61">
        <v>42</v>
      </c>
      <c r="M61" s="70">
        <v>59172</v>
      </c>
      <c r="N61" s="71" t="s">
        <v>173</v>
      </c>
      <c r="O61" s="4">
        <v>-200000</v>
      </c>
      <c r="P61" s="4">
        <f t="shared" si="1"/>
        <v>3187515.50309835</v>
      </c>
    </row>
    <row r="62" spans="8:16" x14ac:dyDescent="0.25">
      <c r="L62">
        <v>43</v>
      </c>
      <c r="M62" s="70">
        <v>59537</v>
      </c>
      <c r="N62" s="71" t="s">
        <v>174</v>
      </c>
      <c r="O62" s="4">
        <v>-200000</v>
      </c>
      <c r="P62" s="4">
        <f t="shared" si="1"/>
        <v>3089515.9991974975</v>
      </c>
    </row>
    <row r="63" spans="8:16" x14ac:dyDescent="0.25">
      <c r="L63">
        <v>44</v>
      </c>
      <c r="M63" s="70">
        <v>59902</v>
      </c>
      <c r="N63" s="71" t="s">
        <v>175</v>
      </c>
      <c r="O63" s="4">
        <v>-200000</v>
      </c>
      <c r="P63" s="4">
        <f t="shared" si="1"/>
        <v>2988380.5111718173</v>
      </c>
    </row>
    <row r="64" spans="8:16" x14ac:dyDescent="0.25">
      <c r="L64">
        <v>45</v>
      </c>
      <c r="M64" s="70">
        <v>60268</v>
      </c>
      <c r="N64" s="71" t="s">
        <v>176</v>
      </c>
      <c r="O64" s="4">
        <v>-200000</v>
      </c>
      <c r="P64" s="4">
        <f t="shared" si="1"/>
        <v>2884008.6875293157</v>
      </c>
    </row>
    <row r="65" spans="12:16" x14ac:dyDescent="0.25">
      <c r="L65">
        <v>46</v>
      </c>
      <c r="M65" s="70">
        <v>60633</v>
      </c>
      <c r="N65" s="71" t="s">
        <v>177</v>
      </c>
      <c r="O65" s="4">
        <v>-200000</v>
      </c>
      <c r="P65" s="4">
        <f t="shared" si="1"/>
        <v>2776296.9655302539</v>
      </c>
    </row>
    <row r="66" spans="12:16" x14ac:dyDescent="0.25">
      <c r="L66">
        <v>47</v>
      </c>
      <c r="M66" s="70">
        <v>60998</v>
      </c>
      <c r="N66" s="71" t="s">
        <v>178</v>
      </c>
      <c r="O66" s="4">
        <v>-200000</v>
      </c>
      <c r="P66" s="4">
        <f t="shared" si="1"/>
        <v>2665138.4684272222</v>
      </c>
    </row>
    <row r="67" spans="12:16" x14ac:dyDescent="0.25">
      <c r="L67">
        <v>48</v>
      </c>
      <c r="M67" s="70">
        <v>61363</v>
      </c>
      <c r="N67" s="71" t="s">
        <v>179</v>
      </c>
      <c r="O67" s="4">
        <v>-200000</v>
      </c>
      <c r="P67" s="4">
        <f t="shared" si="1"/>
        <v>2550422.8994168933</v>
      </c>
    </row>
    <row r="68" spans="12:16" x14ac:dyDescent="0.25">
      <c r="L68">
        <v>49</v>
      </c>
      <c r="M68" s="70">
        <v>61729</v>
      </c>
      <c r="N68" s="71" t="s">
        <v>180</v>
      </c>
      <c r="O68" s="4">
        <v>-200000</v>
      </c>
      <c r="P68" s="4">
        <f t="shared" si="1"/>
        <v>2432036.4321982339</v>
      </c>
    </row>
    <row r="69" spans="12:16" x14ac:dyDescent="0.25">
      <c r="L69">
        <v>50</v>
      </c>
      <c r="M69" s="70">
        <v>62094</v>
      </c>
      <c r="N69" s="71" t="s">
        <v>181</v>
      </c>
      <c r="O69" s="4">
        <v>-200000</v>
      </c>
      <c r="P69" s="4">
        <f t="shared" si="1"/>
        <v>2309861.5980285774</v>
      </c>
    </row>
    <row r="70" spans="12:16" x14ac:dyDescent="0.25">
      <c r="L70">
        <v>51</v>
      </c>
      <c r="M70" s="70">
        <v>62459</v>
      </c>
      <c r="N70" s="71" t="s">
        <v>182</v>
      </c>
      <c r="O70" s="4">
        <v>-200000</v>
      </c>
      <c r="P70" s="4">
        <f t="shared" si="1"/>
        <v>2183777.1691654921</v>
      </c>
    </row>
    <row r="71" spans="12:16" x14ac:dyDescent="0.25">
      <c r="L71">
        <v>52</v>
      </c>
      <c r="M71" s="70">
        <v>62824</v>
      </c>
      <c r="N71" s="71" t="s">
        <v>183</v>
      </c>
      <c r="O71" s="4">
        <v>-200000</v>
      </c>
      <c r="P71" s="4">
        <f t="shared" si="1"/>
        <v>2053658.0385787878</v>
      </c>
    </row>
    <row r="72" spans="12:16" x14ac:dyDescent="0.25">
      <c r="L72">
        <v>53</v>
      </c>
      <c r="M72" s="70">
        <v>63190</v>
      </c>
      <c r="N72" s="71" t="s">
        <v>195</v>
      </c>
      <c r="O72" s="4">
        <v>-200000</v>
      </c>
      <c r="P72" s="4">
        <f t="shared" si="1"/>
        <v>1919375.0958133093</v>
      </c>
    </row>
    <row r="73" spans="12:16" x14ac:dyDescent="0.25">
      <c r="L73">
        <v>54</v>
      </c>
      <c r="M73" s="70">
        <v>63555</v>
      </c>
      <c r="N73" s="71" t="s">
        <v>196</v>
      </c>
      <c r="O73" s="4">
        <v>-200000</v>
      </c>
      <c r="P73" s="4">
        <f t="shared" si="1"/>
        <v>1780795.0988793352</v>
      </c>
    </row>
    <row r="74" spans="12:16" x14ac:dyDescent="0.25">
      <c r="L74">
        <v>55</v>
      </c>
      <c r="M74" s="70">
        <v>63920</v>
      </c>
      <c r="N74" s="71" t="s">
        <v>197</v>
      </c>
      <c r="O74" s="4">
        <v>-200000</v>
      </c>
      <c r="P74" s="4">
        <f t="shared" si="1"/>
        <v>1637780.542043474</v>
      </c>
    </row>
    <row r="75" spans="12:16" x14ac:dyDescent="0.25">
      <c r="L75">
        <v>56</v>
      </c>
      <c r="M75" s="70">
        <v>64285</v>
      </c>
      <c r="N75" s="71" t="s">
        <v>198</v>
      </c>
      <c r="O75" s="4">
        <v>-200000</v>
      </c>
      <c r="P75" s="4">
        <f t="shared" si="1"/>
        <v>1490189.5193888652</v>
      </c>
    </row>
    <row r="76" spans="12:16" x14ac:dyDescent="0.25">
      <c r="L76">
        <v>57</v>
      </c>
      <c r="M76" s="70">
        <v>64651</v>
      </c>
      <c r="N76" s="71" t="s">
        <v>199</v>
      </c>
      <c r="O76" s="4">
        <v>-200000</v>
      </c>
      <c r="P76" s="4">
        <f t="shared" si="1"/>
        <v>1337875.5840093088</v>
      </c>
    </row>
    <row r="77" spans="12:16" x14ac:dyDescent="0.25">
      <c r="L77">
        <v>58</v>
      </c>
      <c r="M77" s="70">
        <v>65016</v>
      </c>
      <c r="N77" s="71" t="s">
        <v>234</v>
      </c>
      <c r="O77" s="4">
        <v>-200000</v>
      </c>
      <c r="P77" s="4">
        <f t="shared" si="1"/>
        <v>1180687.6026976067</v>
      </c>
    </row>
    <row r="78" spans="12:16" x14ac:dyDescent="0.25">
      <c r="L78">
        <v>59</v>
      </c>
      <c r="M78" s="70">
        <v>65381</v>
      </c>
      <c r="N78" s="71" t="s">
        <v>235</v>
      </c>
      <c r="O78" s="4">
        <v>-200000</v>
      </c>
      <c r="P78" s="4">
        <f t="shared" si="1"/>
        <v>1018469.6059839302</v>
      </c>
    </row>
    <row r="79" spans="12:16" x14ac:dyDescent="0.25">
      <c r="L79">
        <v>60</v>
      </c>
      <c r="M79" s="70">
        <v>65746</v>
      </c>
      <c r="N79" s="71" t="s">
        <v>236</v>
      </c>
      <c r="O79" s="4">
        <v>-200000</v>
      </c>
      <c r="P79" s="4">
        <f t="shared" si="1"/>
        <v>851060.63337541604</v>
      </c>
    </row>
    <row r="80" spans="12:16" x14ac:dyDescent="0.25">
      <c r="L80">
        <v>61</v>
      </c>
      <c r="M80" s="70">
        <v>66112</v>
      </c>
      <c r="N80" s="71" t="s">
        <v>237</v>
      </c>
      <c r="O80" s="4">
        <v>-200000</v>
      </c>
      <c r="P80" s="4">
        <f t="shared" si="1"/>
        <v>678294.57364342944</v>
      </c>
    </row>
    <row r="81" spans="12:16" x14ac:dyDescent="0.25">
      <c r="L81">
        <v>62</v>
      </c>
      <c r="M81" s="70">
        <v>66477</v>
      </c>
      <c r="N81" s="71" t="s">
        <v>238</v>
      </c>
      <c r="O81" s="4">
        <v>-200000</v>
      </c>
      <c r="P81" s="4">
        <f t="shared" si="1"/>
        <v>500000.00000001921</v>
      </c>
    </row>
    <row r="82" spans="12:16" x14ac:dyDescent="0.25">
      <c r="M82" s="70"/>
      <c r="O82" s="4"/>
      <c r="P82" s="4"/>
    </row>
    <row r="83" spans="12:16" x14ac:dyDescent="0.25">
      <c r="M83" s="70"/>
      <c r="O83" s="4"/>
      <c r="P83" s="4"/>
    </row>
    <row r="84" spans="12:16" x14ac:dyDescent="0.25">
      <c r="M84" s="70"/>
      <c r="O84" s="4"/>
      <c r="P84" s="4"/>
    </row>
    <row r="85" spans="12:16" x14ac:dyDescent="0.25">
      <c r="M85" s="70"/>
      <c r="O85" s="4"/>
      <c r="P85" s="4"/>
    </row>
    <row r="86" spans="12:16" x14ac:dyDescent="0.25">
      <c r="M86" s="70"/>
      <c r="O86" s="4"/>
      <c r="P86" s="4"/>
    </row>
  </sheetData>
  <mergeCells count="1">
    <mergeCell ref="B19:K19"/>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0"/>
  <sheetViews>
    <sheetView workbookViewId="0">
      <selection activeCell="M23" sqref="M23"/>
    </sheetView>
  </sheetViews>
  <sheetFormatPr defaultColWidth="9.140625" defaultRowHeight="15" x14ac:dyDescent="0.25"/>
  <cols>
    <col min="1" max="1" width="2.7109375" customWidth="1"/>
    <col min="6" max="6" width="13.28515625" bestFit="1" customWidth="1"/>
    <col min="7" max="7" width="12" customWidth="1"/>
    <col min="8" max="8" width="12.140625" customWidth="1"/>
    <col min="9" max="9" width="14.140625" customWidth="1"/>
    <col min="12" max="12" width="4.85546875" customWidth="1"/>
  </cols>
  <sheetData>
    <row r="2" spans="2:11" x14ac:dyDescent="0.25">
      <c r="B2" s="15" t="s">
        <v>294</v>
      </c>
    </row>
    <row r="4" spans="2:11" x14ac:dyDescent="0.25">
      <c r="B4" s="15" t="s">
        <v>61</v>
      </c>
    </row>
    <row r="5" spans="2:11" s="15" customFormat="1" x14ac:dyDescent="0.25">
      <c r="B5" s="7" t="s">
        <v>8</v>
      </c>
      <c r="F5" s="85">
        <v>425000</v>
      </c>
    </row>
    <row r="6" spans="2:11" s="15" customFormat="1" x14ac:dyDescent="0.25">
      <c r="B6" s="7" t="s">
        <v>246</v>
      </c>
      <c r="F6" s="86">
        <v>15</v>
      </c>
    </row>
    <row r="7" spans="2:11" s="15" customFormat="1" x14ac:dyDescent="0.25">
      <c r="B7" s="7" t="s">
        <v>9</v>
      </c>
      <c r="F7" s="87">
        <v>4.7500000000000001E-2</v>
      </c>
    </row>
    <row r="8" spans="2:11" s="15" customFormat="1" x14ac:dyDescent="0.25">
      <c r="B8" s="7"/>
      <c r="F8" s="88"/>
    </row>
    <row r="9" spans="2:11" s="15" customFormat="1" x14ac:dyDescent="0.25">
      <c r="B9" s="7" t="s">
        <v>247</v>
      </c>
      <c r="F9" s="89">
        <v>100</v>
      </c>
    </row>
    <row r="10" spans="2:11" s="15" customFormat="1" x14ac:dyDescent="0.25">
      <c r="B10" s="7"/>
    </row>
    <row r="11" spans="2:11" x14ac:dyDescent="0.25">
      <c r="B11" s="90" t="s">
        <v>212</v>
      </c>
    </row>
    <row r="12" spans="2:11" x14ac:dyDescent="0.25">
      <c r="B12" s="90" t="s">
        <v>213</v>
      </c>
    </row>
    <row r="13" spans="2:11" x14ac:dyDescent="0.25">
      <c r="B13" s="90" t="s">
        <v>214</v>
      </c>
    </row>
    <row r="14" spans="2:11" x14ac:dyDescent="0.25">
      <c r="B14" s="90" t="s">
        <v>215</v>
      </c>
    </row>
    <row r="15" spans="2:11" ht="15.75" thickBot="1" x14ac:dyDescent="0.3"/>
    <row r="16" spans="2:11" ht="15.75" thickBot="1" x14ac:dyDescent="0.3">
      <c r="B16" s="124" t="s">
        <v>216</v>
      </c>
      <c r="C16" s="124"/>
      <c r="D16" s="124"/>
      <c r="E16" s="124"/>
      <c r="F16" s="124"/>
      <c r="G16" s="124"/>
      <c r="H16" s="124"/>
      <c r="I16" s="124"/>
      <c r="J16" s="124"/>
      <c r="K16" s="124"/>
    </row>
    <row r="18" spans="2:11" x14ac:dyDescent="0.25">
      <c r="B18" s="91" t="s">
        <v>217</v>
      </c>
    </row>
    <row r="19" spans="2:11" ht="15.75" thickBot="1" x14ac:dyDescent="0.3"/>
    <row r="20" spans="2:11" ht="15.75" thickBot="1" x14ac:dyDescent="0.3">
      <c r="C20" s="15" t="s">
        <v>218</v>
      </c>
      <c r="I20" s="46">
        <f>PMT(F7/12,F6*12,-F5)</f>
        <v>3305.785650268821</v>
      </c>
    </row>
    <row r="21" spans="2:11" ht="15.75" thickBot="1" x14ac:dyDescent="0.3">
      <c r="C21" s="15" t="s">
        <v>219</v>
      </c>
      <c r="I21" s="46">
        <f>I28</f>
        <v>905.2736178853005</v>
      </c>
    </row>
    <row r="22" spans="2:11" ht="15.75" thickBot="1" x14ac:dyDescent="0.3">
      <c r="C22" s="15" t="s">
        <v>220</v>
      </c>
      <c r="I22" s="46">
        <f t="shared" ref="I22:I23" si="0">I29</f>
        <v>2400.5120323835204</v>
      </c>
    </row>
    <row r="23" spans="2:11" ht="15.75" thickBot="1" x14ac:dyDescent="0.3">
      <c r="C23" s="15" t="s">
        <v>221</v>
      </c>
      <c r="I23" s="46">
        <f t="shared" si="0"/>
        <v>226300.19143337657</v>
      </c>
    </row>
    <row r="24" spans="2:11" ht="15.75" thickBot="1" x14ac:dyDescent="0.3"/>
    <row r="25" spans="2:11" ht="15.75" thickBot="1" x14ac:dyDescent="0.3">
      <c r="B25" s="124" t="s">
        <v>110</v>
      </c>
      <c r="C25" s="124"/>
      <c r="D25" s="124"/>
      <c r="E25" s="124"/>
      <c r="F25" s="124"/>
      <c r="G25" s="124"/>
      <c r="H25" s="124"/>
      <c r="I25" s="124"/>
      <c r="J25" s="124"/>
      <c r="K25" s="124"/>
    </row>
    <row r="27" spans="2:11" x14ac:dyDescent="0.25">
      <c r="C27" t="s">
        <v>222</v>
      </c>
      <c r="I27" s="4">
        <f>PV(F7/12,F6*12-F9+1,-I20)</f>
        <v>228700.7034657601</v>
      </c>
    </row>
    <row r="28" spans="2:11" x14ac:dyDescent="0.25">
      <c r="C28" t="s">
        <v>223</v>
      </c>
      <c r="I28" s="4">
        <f>I27*F7/12</f>
        <v>905.2736178853005</v>
      </c>
    </row>
    <row r="29" spans="2:11" x14ac:dyDescent="0.25">
      <c r="C29" t="s">
        <v>224</v>
      </c>
      <c r="I29" s="4">
        <f>I20-I28</f>
        <v>2400.5120323835204</v>
      </c>
    </row>
    <row r="30" spans="2:11" x14ac:dyDescent="0.25">
      <c r="C30" t="s">
        <v>225</v>
      </c>
      <c r="I30" s="4">
        <f>I27-I29</f>
        <v>226300.19143337657</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14"/>
  <sheetViews>
    <sheetView zoomScale="115" zoomScaleNormal="115" workbookViewId="0">
      <selection activeCell="I21" sqref="I21"/>
    </sheetView>
  </sheetViews>
  <sheetFormatPr defaultRowHeight="15" x14ac:dyDescent="0.25"/>
  <cols>
    <col min="1" max="1" width="3.5703125" customWidth="1"/>
    <col min="2" max="2" width="5" customWidth="1"/>
    <col min="3" max="3" width="6.7109375" customWidth="1"/>
    <col min="4" max="4" width="17" customWidth="1"/>
    <col min="5" max="5" width="13.7109375" customWidth="1"/>
    <col min="6" max="6" width="11" customWidth="1"/>
    <col min="7" max="7" width="11.7109375" customWidth="1"/>
    <col min="8" max="8" width="12.28515625" bestFit="1" customWidth="1"/>
    <col min="10" max="14" width="12.7109375" customWidth="1"/>
    <col min="15" max="15" width="11.7109375" bestFit="1" customWidth="1"/>
  </cols>
  <sheetData>
    <row r="2" spans="2:8" ht="23.25" x14ac:dyDescent="0.35">
      <c r="B2" s="1" t="s">
        <v>99</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38" t="s">
        <v>0</v>
      </c>
      <c r="C11" t="s">
        <v>2</v>
      </c>
    </row>
    <row r="12" spans="2:8" ht="14.65" customHeight="1" x14ac:dyDescent="0.25">
      <c r="C12" t="s">
        <v>91</v>
      </c>
    </row>
    <row r="13" spans="2:8" ht="14.65" customHeight="1" x14ac:dyDescent="0.25">
      <c r="C13" t="s">
        <v>318</v>
      </c>
    </row>
    <row r="14" spans="2:8" ht="14.65" customHeight="1" x14ac:dyDescent="0.25">
      <c r="C14" t="s">
        <v>100</v>
      </c>
    </row>
    <row r="15" spans="2:8" ht="15.75" thickBot="1" x14ac:dyDescent="0.3"/>
    <row r="16" spans="2:8" ht="15.75" thickBot="1" x14ac:dyDescent="0.3">
      <c r="D16" s="93" t="s">
        <v>90</v>
      </c>
      <c r="E16" s="94" t="s">
        <v>4</v>
      </c>
    </row>
    <row r="17" spans="3:10" x14ac:dyDescent="0.25">
      <c r="D17" s="95">
        <v>1</v>
      </c>
      <c r="E17" s="96">
        <v>0</v>
      </c>
    </row>
    <row r="18" spans="3:10" x14ac:dyDescent="0.25">
      <c r="D18" s="54">
        <v>2</v>
      </c>
      <c r="E18" s="73">
        <v>0</v>
      </c>
    </row>
    <row r="19" spans="3:10" x14ac:dyDescent="0.25">
      <c r="D19" s="54">
        <v>3</v>
      </c>
      <c r="E19" s="73">
        <v>0</v>
      </c>
    </row>
    <row r="20" spans="3:10" x14ac:dyDescent="0.25">
      <c r="D20" s="54">
        <v>4</v>
      </c>
      <c r="E20" s="92">
        <v>8500</v>
      </c>
      <c r="F20" t="s">
        <v>5</v>
      </c>
    </row>
    <row r="21" spans="3:10" x14ac:dyDescent="0.25">
      <c r="D21" s="54">
        <v>5</v>
      </c>
      <c r="E21" s="73">
        <f>E20</f>
        <v>8500</v>
      </c>
    </row>
    <row r="22" spans="3:10" x14ac:dyDescent="0.25">
      <c r="D22" s="54">
        <v>6</v>
      </c>
      <c r="E22" s="73">
        <f t="shared" ref="E22:E25" si="0">E21</f>
        <v>8500</v>
      </c>
    </row>
    <row r="23" spans="3:10" x14ac:dyDescent="0.25">
      <c r="D23" s="54">
        <v>7</v>
      </c>
      <c r="E23" s="73">
        <f t="shared" si="0"/>
        <v>8500</v>
      </c>
    </row>
    <row r="24" spans="3:10" x14ac:dyDescent="0.25">
      <c r="D24" s="54">
        <v>8</v>
      </c>
      <c r="E24" s="73">
        <f t="shared" si="0"/>
        <v>8500</v>
      </c>
      <c r="J24" s="42"/>
    </row>
    <row r="25" spans="3:10" x14ac:dyDescent="0.25">
      <c r="D25" s="54">
        <v>9</v>
      </c>
      <c r="E25" s="73">
        <f t="shared" si="0"/>
        <v>8500</v>
      </c>
    </row>
    <row r="26" spans="3:10" ht="15.75" thickBot="1" x14ac:dyDescent="0.3">
      <c r="D26" s="53">
        <v>10</v>
      </c>
      <c r="E26" s="97">
        <v>3000</v>
      </c>
      <c r="F26" t="s">
        <v>5</v>
      </c>
      <c r="H26" s="4"/>
    </row>
    <row r="28" spans="3:10" x14ac:dyDescent="0.25">
      <c r="C28" t="s">
        <v>92</v>
      </c>
      <c r="E28" s="3">
        <v>0.06</v>
      </c>
      <c r="I28" s="4"/>
    </row>
    <row r="30" spans="3:10" x14ac:dyDescent="0.25">
      <c r="C30" t="s">
        <v>93</v>
      </c>
    </row>
    <row r="31" spans="3:10" x14ac:dyDescent="0.25">
      <c r="C31" t="s">
        <v>94</v>
      </c>
    </row>
    <row r="32" spans="3:10" x14ac:dyDescent="0.25">
      <c r="C32" t="s">
        <v>263</v>
      </c>
    </row>
    <row r="33" spans="2:6" ht="15.75" thickBot="1" x14ac:dyDescent="0.3"/>
    <row r="34" spans="2:6" ht="15.75" thickBot="1" x14ac:dyDescent="0.3">
      <c r="C34" t="s">
        <v>95</v>
      </c>
      <c r="D34" s="125">
        <f>PV(E28,3,0,PV(E28,7,E20,E26-E20))</f>
        <v>36768.96709356791</v>
      </c>
      <c r="E34" s="126"/>
    </row>
    <row r="36" spans="2:6" x14ac:dyDescent="0.25">
      <c r="B36" s="38" t="s">
        <v>1</v>
      </c>
      <c r="C36" t="s">
        <v>115</v>
      </c>
    </row>
    <row r="37" spans="2:6" x14ac:dyDescent="0.25">
      <c r="C37" t="s">
        <v>116</v>
      </c>
    </row>
    <row r="38" spans="2:6" x14ac:dyDescent="0.25">
      <c r="C38" t="s">
        <v>241</v>
      </c>
    </row>
    <row r="39" spans="2:6" ht="15.75" thickBot="1" x14ac:dyDescent="0.3"/>
    <row r="40" spans="2:6" ht="15.75" thickBot="1" x14ac:dyDescent="0.3">
      <c r="C40" s="55" t="s">
        <v>117</v>
      </c>
      <c r="F40" s="56">
        <v>9.2499999999999999E-2</v>
      </c>
    </row>
    <row r="41" spans="2:6" ht="15.75" thickBot="1" x14ac:dyDescent="0.3">
      <c r="E41" s="8"/>
      <c r="F41" s="8"/>
    </row>
    <row r="42" spans="2:6" ht="45.75" thickBot="1" x14ac:dyDescent="0.3">
      <c r="E42" s="58" t="s">
        <v>118</v>
      </c>
      <c r="F42" s="58" t="s">
        <v>119</v>
      </c>
    </row>
    <row r="43" spans="2:6" x14ac:dyDescent="0.25">
      <c r="E43" s="12" t="s">
        <v>78</v>
      </c>
      <c r="F43" s="57">
        <f>FV(F40/4,4,0,-1)-1</f>
        <v>9.5758345544586732E-2</v>
      </c>
    </row>
    <row r="44" spans="2:6" x14ac:dyDescent="0.25">
      <c r="E44" s="12" t="s">
        <v>79</v>
      </c>
      <c r="F44" s="57">
        <f>FV(F40/12,12,0,-1)-1</f>
        <v>9.652414766105033E-2</v>
      </c>
    </row>
    <row r="45" spans="2:6" ht="15.75" thickBot="1" x14ac:dyDescent="0.3">
      <c r="E45" s="12" t="s">
        <v>120</v>
      </c>
      <c r="F45" s="57">
        <f>FV(F40/365,365,0,-1)-1</f>
        <v>9.6900287008653496E-2</v>
      </c>
    </row>
    <row r="46" spans="2:6" ht="15.75" thickBot="1" x14ac:dyDescent="0.3">
      <c r="E46" s="59" t="s">
        <v>121</v>
      </c>
      <c r="F46" s="48">
        <f>EXP(F40)-1</f>
        <v>9.691314156030395E-2</v>
      </c>
    </row>
    <row r="49" spans="2:11" x14ac:dyDescent="0.25">
      <c r="B49" s="38" t="s">
        <v>6</v>
      </c>
      <c r="C49" t="s">
        <v>75</v>
      </c>
    </row>
    <row r="50" spans="2:11" x14ac:dyDescent="0.25">
      <c r="B50" s="38"/>
    </row>
    <row r="51" spans="2:11" x14ac:dyDescent="0.25">
      <c r="B51" s="38"/>
      <c r="D51" s="114" t="s">
        <v>260</v>
      </c>
    </row>
    <row r="52" spans="2:11" x14ac:dyDescent="0.25">
      <c r="B52" s="38"/>
      <c r="C52" t="s">
        <v>249</v>
      </c>
      <c r="D52" s="115">
        <v>0</v>
      </c>
    </row>
    <row r="53" spans="2:11" ht="17.649999999999999" customHeight="1" x14ac:dyDescent="0.25">
      <c r="B53" s="38"/>
      <c r="C53" t="s">
        <v>250</v>
      </c>
      <c r="D53" s="115">
        <v>0</v>
      </c>
    </row>
    <row r="54" spans="2:11" ht="19.5" customHeight="1" x14ac:dyDescent="0.25">
      <c r="B54" s="38"/>
      <c r="C54" t="s">
        <v>251</v>
      </c>
      <c r="D54" s="115">
        <v>0</v>
      </c>
    </row>
    <row r="55" spans="2:11" ht="19.5" customHeight="1" x14ac:dyDescent="0.25">
      <c r="B55" s="38"/>
      <c r="C55" t="s">
        <v>252</v>
      </c>
      <c r="D55" s="115">
        <v>1000</v>
      </c>
    </row>
    <row r="56" spans="2:11" ht="19.5" customHeight="1" x14ac:dyDescent="0.25">
      <c r="B56" s="38"/>
      <c r="C56" t="s">
        <v>253</v>
      </c>
      <c r="D56" s="116">
        <v>1000</v>
      </c>
    </row>
    <row r="57" spans="2:11" ht="19.5" customHeight="1" x14ac:dyDescent="0.25">
      <c r="B57" s="38"/>
      <c r="C57" t="s">
        <v>254</v>
      </c>
      <c r="D57" s="116" t="s">
        <v>261</v>
      </c>
    </row>
    <row r="58" spans="2:11" ht="19.5" customHeight="1" x14ac:dyDescent="0.25">
      <c r="B58" s="38"/>
      <c r="C58" t="s">
        <v>255</v>
      </c>
      <c r="D58" s="116" t="s">
        <v>261</v>
      </c>
    </row>
    <row r="59" spans="2:11" ht="19.5" customHeight="1" x14ac:dyDescent="0.25">
      <c r="B59" s="38"/>
      <c r="C59" t="s">
        <v>256</v>
      </c>
      <c r="D59" s="116" t="s">
        <v>261</v>
      </c>
    </row>
    <row r="60" spans="2:11" ht="19.5" customHeight="1" x14ac:dyDescent="0.25">
      <c r="B60" s="38"/>
      <c r="C60" t="s">
        <v>257</v>
      </c>
      <c r="D60" s="115">
        <v>1000</v>
      </c>
    </row>
    <row r="61" spans="2:11" ht="19.5" customHeight="1" x14ac:dyDescent="0.25">
      <c r="B61" s="38"/>
      <c r="C61" t="s">
        <v>258</v>
      </c>
      <c r="D61" s="115">
        <v>1000</v>
      </c>
    </row>
    <row r="62" spans="2:11" ht="19.5" customHeight="1" x14ac:dyDescent="0.25">
      <c r="B62" s="38"/>
      <c r="C62" t="s">
        <v>259</v>
      </c>
      <c r="D62" s="115">
        <v>1500</v>
      </c>
    </row>
    <row r="63" spans="2:11" ht="19.5" customHeight="1" x14ac:dyDescent="0.25">
      <c r="B63" s="38"/>
      <c r="K63" s="4"/>
    </row>
    <row r="64" spans="2:11" x14ac:dyDescent="0.25">
      <c r="C64" t="s">
        <v>279</v>
      </c>
    </row>
    <row r="65" spans="2:15" ht="14.65" customHeight="1" x14ac:dyDescent="0.25">
      <c r="C65" t="s">
        <v>280</v>
      </c>
    </row>
    <row r="66" spans="2:15" x14ac:dyDescent="0.25">
      <c r="C66" t="s">
        <v>76</v>
      </c>
      <c r="L66" s="4"/>
    </row>
    <row r="67" spans="2:15" x14ac:dyDescent="0.25">
      <c r="C67" t="s">
        <v>85</v>
      </c>
      <c r="L67" s="4"/>
    </row>
    <row r="68" spans="2:15" x14ac:dyDescent="0.25">
      <c r="C68" t="s">
        <v>264</v>
      </c>
      <c r="L68" s="4"/>
      <c r="O68" s="4"/>
    </row>
    <row r="69" spans="2:15" x14ac:dyDescent="0.25">
      <c r="C69" s="60"/>
      <c r="K69" s="4"/>
      <c r="L69" s="4"/>
      <c r="O69" s="4"/>
    </row>
    <row r="70" spans="2:15" x14ac:dyDescent="0.25">
      <c r="C70" t="s">
        <v>281</v>
      </c>
      <c r="E70" s="4">
        <f>-PV(0.05,2,1000)</f>
        <v>1859.4104308390031</v>
      </c>
      <c r="K70" s="4"/>
      <c r="L70" s="4"/>
      <c r="O70" s="4"/>
    </row>
    <row r="71" spans="2:15" x14ac:dyDescent="0.25">
      <c r="C71" t="s">
        <v>282</v>
      </c>
      <c r="F71" s="4">
        <f>-PV(0.05,2,0,E70)</f>
        <v>1686.5400733233587</v>
      </c>
      <c r="K71" s="4"/>
      <c r="L71" s="4"/>
      <c r="M71" s="4"/>
    </row>
    <row r="72" spans="2:15" x14ac:dyDescent="0.25">
      <c r="C72" t="s">
        <v>239</v>
      </c>
      <c r="E72" s="4">
        <f>-PV(0.05,3,1000,500)</f>
        <v>3155.1668286362183</v>
      </c>
      <c r="K72" s="4"/>
      <c r="L72" s="4"/>
    </row>
    <row r="73" spans="2:15" x14ac:dyDescent="0.25">
      <c r="C73" t="s">
        <v>240</v>
      </c>
      <c r="E73" s="4"/>
      <c r="F73" s="98">
        <f>-PV(0.05,7,0,E72)</f>
        <v>2242.3181585576244</v>
      </c>
      <c r="K73" s="4"/>
      <c r="L73" s="4"/>
    </row>
    <row r="74" spans="2:15" x14ac:dyDescent="0.25">
      <c r="C74" t="s">
        <v>96</v>
      </c>
      <c r="E74" s="4"/>
      <c r="F74" s="4">
        <f>SUM(F71:F73)</f>
        <v>3928.8582318809831</v>
      </c>
      <c r="K74" s="4"/>
      <c r="L74" s="4"/>
    </row>
    <row r="75" spans="2:15" x14ac:dyDescent="0.25">
      <c r="C75" t="s">
        <v>97</v>
      </c>
      <c r="G75" s="4">
        <f>5000-F74</f>
        <v>1071.1417681190169</v>
      </c>
      <c r="L75" s="4"/>
    </row>
    <row r="76" spans="2:15" x14ac:dyDescent="0.25">
      <c r="C76" t="s">
        <v>283</v>
      </c>
      <c r="G76" s="4">
        <f>FV(0.05,4,0,-G75)</f>
        <v>1301.9795137847159</v>
      </c>
      <c r="K76" s="4"/>
      <c r="L76" s="4"/>
    </row>
    <row r="77" spans="2:15" x14ac:dyDescent="0.25">
      <c r="C77" t="s">
        <v>98</v>
      </c>
      <c r="G77" s="4">
        <f>PMT(0.05,3,-G76)</f>
        <v>478.09802843617183</v>
      </c>
      <c r="L77" s="4"/>
    </row>
    <row r="78" spans="2:15" x14ac:dyDescent="0.25">
      <c r="G78" s="4"/>
      <c r="L78" s="4"/>
    </row>
    <row r="79" spans="2:15" x14ac:dyDescent="0.25">
      <c r="F79" s="38"/>
      <c r="O79" s="4"/>
    </row>
    <row r="80" spans="2:15" x14ac:dyDescent="0.25">
      <c r="B80" s="38" t="s">
        <v>7</v>
      </c>
      <c r="C80" t="s">
        <v>20</v>
      </c>
    </row>
    <row r="81" spans="2:14" ht="17.25" x14ac:dyDescent="0.4">
      <c r="C81" t="s">
        <v>200</v>
      </c>
      <c r="I81" s="17" t="s">
        <v>3</v>
      </c>
      <c r="J81" s="17" t="s">
        <v>17</v>
      </c>
      <c r="K81" s="17" t="s">
        <v>18</v>
      </c>
      <c r="L81" s="17" t="s">
        <v>28</v>
      </c>
      <c r="M81" s="17" t="s">
        <v>19</v>
      </c>
      <c r="N81" s="17"/>
    </row>
    <row r="82" spans="2:14" x14ac:dyDescent="0.25">
      <c r="C82" t="s">
        <v>242</v>
      </c>
      <c r="I82" s="16">
        <v>1</v>
      </c>
      <c r="J82">
        <v>2500</v>
      </c>
      <c r="K82">
        <v>1800</v>
      </c>
      <c r="L82">
        <v>300</v>
      </c>
      <c r="M82">
        <v>125</v>
      </c>
    </row>
    <row r="83" spans="2:14" ht="15.75" thickBot="1" x14ac:dyDescent="0.3">
      <c r="I83" s="16">
        <v>2</v>
      </c>
      <c r="J83">
        <v>3000</v>
      </c>
      <c r="K83">
        <v>2200</v>
      </c>
      <c r="L83">
        <v>315</v>
      </c>
      <c r="M83">
        <v>150</v>
      </c>
    </row>
    <row r="84" spans="2:14" ht="15.75" thickBot="1" x14ac:dyDescent="0.3">
      <c r="C84" s="7" t="s">
        <v>21</v>
      </c>
      <c r="E84" s="18">
        <v>5</v>
      </c>
      <c r="I84" s="16">
        <v>3</v>
      </c>
      <c r="J84">
        <v>3250</v>
      </c>
      <c r="K84">
        <v>2400</v>
      </c>
      <c r="L84">
        <v>325</v>
      </c>
      <c r="M84">
        <v>162</v>
      </c>
    </row>
    <row r="85" spans="2:14" ht="15.75" thickBot="1" x14ac:dyDescent="0.3">
      <c r="C85" s="15"/>
      <c r="I85" s="16">
        <v>4</v>
      </c>
      <c r="J85">
        <v>4000</v>
      </c>
      <c r="K85">
        <v>3100</v>
      </c>
      <c r="L85">
        <v>400</v>
      </c>
      <c r="M85">
        <v>200</v>
      </c>
    </row>
    <row r="86" spans="2:14" ht="15.75" thickBot="1" x14ac:dyDescent="0.3">
      <c r="C86" s="7" t="s">
        <v>19</v>
      </c>
      <c r="E86" s="19">
        <f>VLOOKUP(E84,I82:M91,5)</f>
        <v>225</v>
      </c>
      <c r="I86" s="16">
        <v>5</v>
      </c>
      <c r="J86">
        <v>4500</v>
      </c>
      <c r="K86">
        <v>3300</v>
      </c>
      <c r="L86">
        <v>430</v>
      </c>
      <c r="M86">
        <v>225</v>
      </c>
    </row>
    <row r="87" spans="2:14" x14ac:dyDescent="0.25">
      <c r="I87" s="16">
        <v>6</v>
      </c>
      <c r="J87">
        <v>5200</v>
      </c>
      <c r="K87">
        <v>3900</v>
      </c>
      <c r="L87">
        <v>450</v>
      </c>
      <c r="M87">
        <v>260</v>
      </c>
    </row>
    <row r="88" spans="2:14" x14ac:dyDescent="0.25">
      <c r="I88" s="16">
        <v>7</v>
      </c>
      <c r="J88">
        <v>5900</v>
      </c>
      <c r="K88">
        <v>4400</v>
      </c>
      <c r="L88">
        <v>500</v>
      </c>
      <c r="M88">
        <v>295</v>
      </c>
    </row>
    <row r="89" spans="2:14" x14ac:dyDescent="0.25">
      <c r="I89" s="16">
        <v>8</v>
      </c>
      <c r="J89">
        <v>6500</v>
      </c>
      <c r="K89">
        <v>4800</v>
      </c>
      <c r="L89">
        <v>550</v>
      </c>
      <c r="M89">
        <v>325</v>
      </c>
    </row>
    <row r="90" spans="2:14" x14ac:dyDescent="0.25">
      <c r="I90" s="16">
        <v>9</v>
      </c>
      <c r="J90">
        <v>8000</v>
      </c>
      <c r="K90">
        <v>6000</v>
      </c>
      <c r="L90">
        <v>590</v>
      </c>
      <c r="M90">
        <v>400</v>
      </c>
    </row>
    <row r="91" spans="2:14" x14ac:dyDescent="0.25">
      <c r="I91" s="16">
        <v>10</v>
      </c>
      <c r="J91">
        <v>9250</v>
      </c>
      <c r="K91">
        <v>6900</v>
      </c>
      <c r="L91">
        <v>700</v>
      </c>
      <c r="M91">
        <v>475</v>
      </c>
    </row>
    <row r="93" spans="2:14" x14ac:dyDescent="0.25">
      <c r="B93" s="38" t="s">
        <v>127</v>
      </c>
      <c r="C93" t="s">
        <v>201</v>
      </c>
    </row>
    <row r="94" spans="2:14" x14ac:dyDescent="0.25">
      <c r="C94" t="s">
        <v>284</v>
      </c>
    </row>
    <row r="95" spans="2:14" ht="15.75" thickBot="1" x14ac:dyDescent="0.3"/>
    <row r="96" spans="2:14" ht="15.75" thickBot="1" x14ac:dyDescent="0.3">
      <c r="C96" s="61" t="s">
        <v>3</v>
      </c>
      <c r="D96" s="62" t="s">
        <v>17</v>
      </c>
      <c r="F96" s="117"/>
    </row>
    <row r="97" spans="2:4" x14ac:dyDescent="0.25">
      <c r="C97" s="118">
        <v>2009</v>
      </c>
      <c r="D97" s="119">
        <v>2460580</v>
      </c>
    </row>
    <row r="98" spans="2:4" x14ac:dyDescent="0.25">
      <c r="C98" s="63">
        <v>2010</v>
      </c>
      <c r="D98" s="67">
        <v>2726614</v>
      </c>
    </row>
    <row r="99" spans="2:4" x14ac:dyDescent="0.25">
      <c r="C99" s="63">
        <v>2011</v>
      </c>
      <c r="D99" s="67">
        <v>2618912</v>
      </c>
    </row>
    <row r="100" spans="2:4" x14ac:dyDescent="0.25">
      <c r="C100" s="63">
        <v>2012</v>
      </c>
      <c r="D100" s="67">
        <v>2845692</v>
      </c>
    </row>
    <row r="101" spans="2:4" x14ac:dyDescent="0.25">
      <c r="C101" s="63">
        <v>2013</v>
      </c>
      <c r="D101" s="67">
        <v>3021256</v>
      </c>
    </row>
    <row r="102" spans="2:4" x14ac:dyDescent="0.25">
      <c r="C102" s="63">
        <v>2014</v>
      </c>
      <c r="D102" s="67">
        <v>2956123</v>
      </c>
    </row>
    <row r="103" spans="2:4" x14ac:dyDescent="0.25">
      <c r="C103" s="79">
        <v>2015</v>
      </c>
      <c r="D103" s="80">
        <v>3181235</v>
      </c>
    </row>
    <row r="104" spans="2:4" x14ac:dyDescent="0.25">
      <c r="C104" s="79">
        <v>2016</v>
      </c>
      <c r="D104" s="80">
        <v>3216548</v>
      </c>
    </row>
    <row r="105" spans="2:4" x14ac:dyDescent="0.25">
      <c r="C105" s="79">
        <v>2017</v>
      </c>
      <c r="D105" s="80">
        <v>3521654</v>
      </c>
    </row>
    <row r="106" spans="2:4" x14ac:dyDescent="0.25">
      <c r="C106" s="79">
        <v>2018</v>
      </c>
      <c r="D106" s="80">
        <v>3381955</v>
      </c>
    </row>
    <row r="107" spans="2:4" ht="15.75" thickBot="1" x14ac:dyDescent="0.3">
      <c r="C107" s="64">
        <v>2019</v>
      </c>
      <c r="D107" s="65">
        <f>TREND(D97:D106,C97:C106,C107)</f>
        <v>3585967.9333333373</v>
      </c>
    </row>
    <row r="110" spans="2:4" x14ac:dyDescent="0.25">
      <c r="B110" s="38" t="s">
        <v>128</v>
      </c>
      <c r="C110" t="s">
        <v>262</v>
      </c>
    </row>
    <row r="111" spans="2:4" x14ac:dyDescent="0.25">
      <c r="C111" t="s">
        <v>285</v>
      </c>
    </row>
    <row r="112" spans="2:4" x14ac:dyDescent="0.25">
      <c r="C112" t="s">
        <v>286</v>
      </c>
    </row>
    <row r="113" spans="3:3" x14ac:dyDescent="0.25">
      <c r="C113" t="s">
        <v>287</v>
      </c>
    </row>
    <row r="114" spans="3:3" x14ac:dyDescent="0.25">
      <c r="C114" t="s">
        <v>265</v>
      </c>
    </row>
  </sheetData>
  <mergeCells count="1">
    <mergeCell ref="D34:E3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4:L73"/>
  <sheetViews>
    <sheetView topLeftCell="A19" zoomScale="130" zoomScaleNormal="130" workbookViewId="0">
      <selection activeCell="F39" sqref="F39"/>
    </sheetView>
  </sheetViews>
  <sheetFormatPr defaultColWidth="8.7109375" defaultRowHeight="15" x14ac:dyDescent="0.25"/>
  <cols>
    <col min="1" max="1" width="6.28515625" style="21" customWidth="1"/>
    <col min="2" max="2" width="4" style="20" customWidth="1"/>
    <col min="3" max="3" width="40.85546875" style="20" customWidth="1"/>
    <col min="4" max="6" width="16.7109375" style="21" customWidth="1"/>
    <col min="7" max="7" width="4.140625" style="21" customWidth="1"/>
    <col min="8" max="9" width="8.7109375" style="21"/>
    <col min="10" max="10" width="10.85546875" style="21" customWidth="1"/>
    <col min="11" max="16384" width="8.7109375" style="21"/>
  </cols>
  <sheetData>
    <row r="24" spans="3:6" ht="15.75" thickBot="1" x14ac:dyDescent="0.3"/>
    <row r="25" spans="3:6" ht="19.5" customHeight="1" thickBot="1" x14ac:dyDescent="0.3">
      <c r="C25" s="127" t="s">
        <v>58</v>
      </c>
      <c r="D25" s="128"/>
      <c r="E25" s="128"/>
      <c r="F25" s="128"/>
    </row>
    <row r="26" spans="3:6" ht="16.149999999999999" customHeight="1" x14ac:dyDescent="0.25">
      <c r="C26" s="34" t="s">
        <v>288</v>
      </c>
      <c r="F26" s="76">
        <v>5.1999999999999998E-2</v>
      </c>
    </row>
    <row r="27" spans="3:6" x14ac:dyDescent="0.25">
      <c r="C27" s="34" t="s">
        <v>57</v>
      </c>
      <c r="F27" s="76">
        <v>4.2500000000000003E-2</v>
      </c>
    </row>
    <row r="28" spans="3:6" x14ac:dyDescent="0.25">
      <c r="C28" s="34" t="s">
        <v>56</v>
      </c>
      <c r="F28" s="76">
        <v>6.5000000000000002E-2</v>
      </c>
    </row>
    <row r="29" spans="3:6" x14ac:dyDescent="0.25">
      <c r="C29" s="34" t="s">
        <v>289</v>
      </c>
      <c r="F29" s="75">
        <v>0.34</v>
      </c>
    </row>
    <row r="30" spans="3:6" x14ac:dyDescent="0.25">
      <c r="C30" s="34" t="s">
        <v>290</v>
      </c>
      <c r="F30" s="74">
        <v>425000</v>
      </c>
    </row>
    <row r="31" spans="3:6" x14ac:dyDescent="0.25">
      <c r="C31" s="34" t="s">
        <v>291</v>
      </c>
      <c r="F31" s="74">
        <v>650000</v>
      </c>
    </row>
    <row r="32" spans="3:6" x14ac:dyDescent="0.25">
      <c r="C32" s="34" t="s">
        <v>292</v>
      </c>
      <c r="F32" s="74">
        <v>125000</v>
      </c>
    </row>
    <row r="33" spans="3:12" ht="7.5" customHeight="1" thickBot="1" x14ac:dyDescent="0.3">
      <c r="C33" s="35"/>
      <c r="D33" s="24"/>
      <c r="E33" s="24"/>
      <c r="F33" s="36"/>
    </row>
    <row r="34" spans="3:12" x14ac:dyDescent="0.25">
      <c r="C34" s="34"/>
      <c r="F34" s="74"/>
    </row>
    <row r="35" spans="3:12" ht="21.75" thickBot="1" x14ac:dyDescent="0.4">
      <c r="C35" s="129" t="s">
        <v>22</v>
      </c>
      <c r="D35" s="129"/>
      <c r="E35" s="129"/>
      <c r="F35" s="129"/>
    </row>
    <row r="36" spans="3:12" ht="19.5" customHeight="1" thickBot="1" x14ac:dyDescent="0.3">
      <c r="C36" s="120"/>
      <c r="D36" s="81">
        <v>2017</v>
      </c>
      <c r="E36" s="81">
        <v>2018</v>
      </c>
      <c r="F36" s="81">
        <v>2019</v>
      </c>
    </row>
    <row r="37" spans="3:12" ht="17.25" customHeight="1" x14ac:dyDescent="0.25">
      <c r="C37" s="30" t="s">
        <v>17</v>
      </c>
      <c r="D37" s="21">
        <v>3845000</v>
      </c>
      <c r="E37" s="21">
        <v>4106900</v>
      </c>
      <c r="F37" s="21">
        <f>E37*(1+F26)</f>
        <v>4320458.8</v>
      </c>
    </row>
    <row r="38" spans="3:12" ht="17.25" x14ac:dyDescent="0.4">
      <c r="C38" s="33" t="s">
        <v>23</v>
      </c>
      <c r="D38" s="66">
        <v>2450000</v>
      </c>
      <c r="E38" s="66">
        <v>2585000</v>
      </c>
      <c r="F38" s="66">
        <f>$F$37*J38*0.89</f>
        <v>2435208.2736540963</v>
      </c>
      <c r="H38" s="45">
        <f>D38/D$37</f>
        <v>0.63719115734720411</v>
      </c>
      <c r="I38" s="45">
        <f>E38/E$37</f>
        <v>0.62942852273003969</v>
      </c>
      <c r="J38" s="47">
        <f>AVERAGE(H38:I38)</f>
        <v>0.6333098400386219</v>
      </c>
      <c r="L38"/>
    </row>
    <row r="39" spans="3:12" x14ac:dyDescent="0.25">
      <c r="C39" s="31" t="s">
        <v>24</v>
      </c>
      <c r="D39" s="21">
        <f>D37-D38</f>
        <v>1395000</v>
      </c>
      <c r="E39" s="21">
        <f>E37-E38</f>
        <v>1521900</v>
      </c>
      <c r="F39" s="21">
        <f>F37-F38</f>
        <v>1885250.5263459035</v>
      </c>
    </row>
    <row r="40" spans="3:12" x14ac:dyDescent="0.25">
      <c r="C40" s="30" t="s">
        <v>25</v>
      </c>
      <c r="D40" s="21">
        <v>715000</v>
      </c>
      <c r="E40" s="21">
        <v>810500</v>
      </c>
      <c r="F40" s="21">
        <f>$F$37*J40</f>
        <v>828030.15760728216</v>
      </c>
      <c r="G40" s="23"/>
      <c r="H40" s="45">
        <f>D40/D$37</f>
        <v>0.18595578673602081</v>
      </c>
      <c r="I40" s="45">
        <f>E40/E$37</f>
        <v>0.19735079987338383</v>
      </c>
      <c r="J40" s="47">
        <f>AVERAGE(H40:I40)</f>
        <v>0.19165329330470232</v>
      </c>
    </row>
    <row r="41" spans="3:12" x14ac:dyDescent="0.25">
      <c r="C41" s="30" t="s">
        <v>26</v>
      </c>
      <c r="D41" s="21">
        <v>140000</v>
      </c>
      <c r="E41" s="21">
        <v>145000</v>
      </c>
      <c r="F41" s="52">
        <v>145000</v>
      </c>
    </row>
    <row r="42" spans="3:12" ht="17.25" x14ac:dyDescent="0.4">
      <c r="C42" s="33" t="s">
        <v>27</v>
      </c>
      <c r="D42" s="66">
        <v>55000</v>
      </c>
      <c r="E42" s="66">
        <v>52500</v>
      </c>
      <c r="F42" s="66">
        <f>E42+F32</f>
        <v>177500</v>
      </c>
    </row>
    <row r="43" spans="3:12" x14ac:dyDescent="0.25">
      <c r="C43" s="31" t="s">
        <v>28</v>
      </c>
      <c r="D43" s="21">
        <f>D39-D40-D41-D42</f>
        <v>485000</v>
      </c>
      <c r="E43" s="21">
        <f>E39-E40-E41-E42</f>
        <v>513900</v>
      </c>
      <c r="F43" s="21">
        <f>F39-F40-F41-F42</f>
        <v>734720.36873862147</v>
      </c>
    </row>
    <row r="44" spans="3:12" ht="17.25" x14ac:dyDescent="0.4">
      <c r="C44" s="33" t="s">
        <v>29</v>
      </c>
      <c r="D44" s="66">
        <v>15000</v>
      </c>
      <c r="E44" s="66">
        <v>32500</v>
      </c>
      <c r="F44" s="66">
        <f>F27*E61+F28*E64</f>
        <v>26133.762500000001</v>
      </c>
    </row>
    <row r="45" spans="3:12" x14ac:dyDescent="0.25">
      <c r="C45" s="31" t="s">
        <v>30</v>
      </c>
      <c r="D45" s="21">
        <f>D43-D44</f>
        <v>470000</v>
      </c>
      <c r="E45" s="21">
        <f>E43-E44</f>
        <v>481400</v>
      </c>
      <c r="F45" s="21">
        <f>F43-F44</f>
        <v>708586.60623862152</v>
      </c>
    </row>
    <row r="46" spans="3:12" ht="17.25" x14ac:dyDescent="0.4">
      <c r="C46" s="33" t="s">
        <v>31</v>
      </c>
      <c r="D46" s="66">
        <f>D45*0.35</f>
        <v>164500</v>
      </c>
      <c r="E46" s="66">
        <f>E45*0.35</f>
        <v>168490</v>
      </c>
      <c r="F46" s="66">
        <f>F45*F29</f>
        <v>240919.44612113133</v>
      </c>
    </row>
    <row r="47" spans="3:12" ht="15.75" thickBot="1" x14ac:dyDescent="0.3">
      <c r="C47" s="32" t="s">
        <v>19</v>
      </c>
      <c r="D47" s="24">
        <f>D45-D46</f>
        <v>305500</v>
      </c>
      <c r="E47" s="24">
        <f>E45-E46</f>
        <v>312910</v>
      </c>
      <c r="F47" s="24">
        <f>F45-F46</f>
        <v>467667.16011749022</v>
      </c>
    </row>
    <row r="48" spans="3:12" ht="7.5" customHeight="1" x14ac:dyDescent="0.25">
      <c r="C48" s="15"/>
      <c r="D48"/>
      <c r="E48"/>
      <c r="F48"/>
    </row>
    <row r="49" spans="2:10" ht="21.75" thickBot="1" x14ac:dyDescent="0.4">
      <c r="B49" s="129" t="s">
        <v>32</v>
      </c>
      <c r="C49" s="129"/>
      <c r="D49" s="129"/>
      <c r="E49" s="129"/>
      <c r="F49" s="129"/>
    </row>
    <row r="50" spans="2:10" ht="15.75" thickBot="1" x14ac:dyDescent="0.3">
      <c r="B50" s="121" t="s">
        <v>33</v>
      </c>
      <c r="C50" s="121"/>
      <c r="D50" s="81">
        <v>2017</v>
      </c>
      <c r="E50" s="81">
        <v>2018</v>
      </c>
      <c r="F50" s="81">
        <v>2019</v>
      </c>
    </row>
    <row r="51" spans="2:10" x14ac:dyDescent="0.25">
      <c r="B51" s="26" t="s">
        <v>34</v>
      </c>
      <c r="D51" s="21">
        <f>96500-52500</f>
        <v>44000</v>
      </c>
      <c r="E51" s="21">
        <f>106513+340347</f>
        <v>446860</v>
      </c>
      <c r="F51" s="52">
        <v>410850</v>
      </c>
    </row>
    <row r="52" spans="2:10" x14ac:dyDescent="0.25">
      <c r="B52" s="26" t="s">
        <v>35</v>
      </c>
      <c r="D52" s="21">
        <f>146000+183150</f>
        <v>329150</v>
      </c>
      <c r="E52" s="21">
        <f>125000+273315</f>
        <v>398315</v>
      </c>
      <c r="F52" s="21">
        <f>$F$37*J52</f>
        <v>394439.43954746425</v>
      </c>
      <c r="H52" s="45">
        <f>D52/D$37</f>
        <v>8.5604681404421332E-2</v>
      </c>
      <c r="I52" s="45">
        <f>E52/E$37</f>
        <v>9.6986778348632785E-2</v>
      </c>
      <c r="J52" s="47">
        <f>AVERAGE(H52:I52)</f>
        <v>9.1295729876527065E-2</v>
      </c>
    </row>
    <row r="53" spans="2:10" ht="17.25" x14ac:dyDescent="0.4">
      <c r="B53" s="26" t="s">
        <v>36</v>
      </c>
      <c r="D53" s="66">
        <v>485000</v>
      </c>
      <c r="E53" s="66">
        <v>326000</v>
      </c>
      <c r="F53" s="66">
        <f>$F$37*J53</f>
        <v>443962.67334200256</v>
      </c>
      <c r="H53" s="45">
        <f>D53/D$37</f>
        <v>0.12613784135240572</v>
      </c>
      <c r="I53" s="45">
        <f>E53/E$37</f>
        <v>7.9378606735006935E-2</v>
      </c>
      <c r="J53" s="47">
        <f>AVERAGE(H53:I53)</f>
        <v>0.10275822404370633</v>
      </c>
    </row>
    <row r="54" spans="2:10" x14ac:dyDescent="0.25">
      <c r="B54" s="27" t="s">
        <v>37</v>
      </c>
      <c r="D54" s="21">
        <f>D51+D52+D53</f>
        <v>858150</v>
      </c>
      <c r="E54" s="21">
        <f>E51+E52+E53</f>
        <v>1171175</v>
      </c>
      <c r="F54" s="21">
        <f>SUM(F51:F53)</f>
        <v>1249252.1128894668</v>
      </c>
    </row>
    <row r="55" spans="2:10" x14ac:dyDescent="0.25">
      <c r="B55" s="26" t="s">
        <v>38</v>
      </c>
      <c r="D55" s="21">
        <v>795000</v>
      </c>
      <c r="E55" s="21">
        <v>795000</v>
      </c>
      <c r="F55" s="21">
        <f>E55+F31</f>
        <v>1445000</v>
      </c>
    </row>
    <row r="56" spans="2:10" ht="17.25" x14ac:dyDescent="0.4">
      <c r="B56" s="26" t="s">
        <v>39</v>
      </c>
      <c r="D56" s="66">
        <v>256500</v>
      </c>
      <c r="E56" s="66">
        <f>D56+E42</f>
        <v>309000</v>
      </c>
      <c r="F56" s="66">
        <f>E56+F42</f>
        <v>486500</v>
      </c>
    </row>
    <row r="57" spans="2:10" ht="17.25" x14ac:dyDescent="0.4">
      <c r="B57" s="27" t="s">
        <v>40</v>
      </c>
      <c r="D57" s="66">
        <f>D55-D56</f>
        <v>538500</v>
      </c>
      <c r="E57" s="66">
        <f>E55-E56</f>
        <v>486000</v>
      </c>
      <c r="F57" s="66">
        <f>F55-F56</f>
        <v>958500</v>
      </c>
    </row>
    <row r="58" spans="2:10" ht="15.75" thickBot="1" x14ac:dyDescent="0.3">
      <c r="B58" s="27" t="s">
        <v>41</v>
      </c>
      <c r="D58" s="21">
        <f>D54+D57</f>
        <v>1396650</v>
      </c>
      <c r="E58" s="21">
        <f>E54+E57</f>
        <v>1657175</v>
      </c>
      <c r="F58" s="21">
        <f>F54+F57</f>
        <v>2207752.1128894668</v>
      </c>
    </row>
    <row r="59" spans="2:10" ht="16.149999999999999" customHeight="1" x14ac:dyDescent="0.25">
      <c r="B59" s="25" t="s">
        <v>42</v>
      </c>
      <c r="C59" s="25"/>
      <c r="D59" s="22"/>
      <c r="E59" s="22"/>
      <c r="F59" s="22"/>
    </row>
    <row r="60" spans="2:10" x14ac:dyDescent="0.25">
      <c r="B60" s="26" t="s">
        <v>43</v>
      </c>
      <c r="D60" s="21">
        <v>246000</v>
      </c>
      <c r="E60" s="21">
        <v>195000</v>
      </c>
      <c r="F60" s="21">
        <f>$F$37*J60</f>
        <v>240779.7353446034</v>
      </c>
      <c r="H60" s="45">
        <f>D60/D$37</f>
        <v>6.3979193758127439E-2</v>
      </c>
      <c r="I60" s="45">
        <f>E60/E$37</f>
        <v>4.748106844578636E-2</v>
      </c>
      <c r="J60" s="47">
        <f>AVERAGE(H60:I60)</f>
        <v>5.5730131101956903E-2</v>
      </c>
    </row>
    <row r="61" spans="2:10" x14ac:dyDescent="0.25">
      <c r="B61" s="26" t="s">
        <v>44</v>
      </c>
      <c r="D61" s="21">
        <v>85650</v>
      </c>
      <c r="E61" s="21">
        <v>87265</v>
      </c>
      <c r="F61" s="52">
        <v>92600</v>
      </c>
    </row>
    <row r="62" spans="2:10" ht="17.25" x14ac:dyDescent="0.4">
      <c r="B62" s="26" t="s">
        <v>45</v>
      </c>
      <c r="D62" s="66">
        <v>45000</v>
      </c>
      <c r="E62" s="66">
        <v>62000</v>
      </c>
      <c r="F62" s="50">
        <v>56250</v>
      </c>
    </row>
    <row r="63" spans="2:10" x14ac:dyDescent="0.25">
      <c r="B63" s="27" t="s">
        <v>46</v>
      </c>
      <c r="D63" s="21">
        <f>D60+D61+D62</f>
        <v>376650</v>
      </c>
      <c r="E63" s="21">
        <f>E60+E61+E62</f>
        <v>344265</v>
      </c>
      <c r="F63" s="21">
        <f>SUM(F60:F62)</f>
        <v>389629.73534460342</v>
      </c>
    </row>
    <row r="64" spans="2:10" ht="17.25" x14ac:dyDescent="0.4">
      <c r="B64" s="26" t="s">
        <v>47</v>
      </c>
      <c r="D64" s="66">
        <v>325000</v>
      </c>
      <c r="E64" s="66">
        <v>345000</v>
      </c>
      <c r="F64" s="50">
        <v>345000</v>
      </c>
    </row>
    <row r="65" spans="2:6" x14ac:dyDescent="0.25">
      <c r="B65" s="27" t="s">
        <v>48</v>
      </c>
      <c r="D65" s="21">
        <f>D63+D64</f>
        <v>701650</v>
      </c>
      <c r="E65" s="21">
        <f>E63+E64</f>
        <v>689265</v>
      </c>
      <c r="F65" s="21">
        <f>F63+F64</f>
        <v>734629.73534460342</v>
      </c>
    </row>
    <row r="66" spans="2:6" x14ac:dyDescent="0.25">
      <c r="B66" s="26" t="s">
        <v>49</v>
      </c>
      <c r="D66" s="21">
        <v>350000</v>
      </c>
      <c r="E66" s="21">
        <v>350000</v>
      </c>
      <c r="F66" s="52">
        <v>350000</v>
      </c>
    </row>
    <row r="67" spans="2:6" ht="17.25" x14ac:dyDescent="0.4">
      <c r="B67" s="26" t="s">
        <v>50</v>
      </c>
      <c r="D67" s="66">
        <v>345000</v>
      </c>
      <c r="E67" s="66">
        <f>D67+E47-40000</f>
        <v>617910</v>
      </c>
      <c r="F67" s="66">
        <f>E67+F47-F30</f>
        <v>660577.16011749022</v>
      </c>
    </row>
    <row r="68" spans="2:6" ht="17.25" x14ac:dyDescent="0.4">
      <c r="B68" s="27" t="s">
        <v>51</v>
      </c>
      <c r="D68" s="66">
        <f>D66+D67</f>
        <v>695000</v>
      </c>
      <c r="E68" s="66">
        <f>E66+E67</f>
        <v>967910</v>
      </c>
      <c r="F68" s="66">
        <f>F66+F67</f>
        <v>1010577.1601174902</v>
      </c>
    </row>
    <row r="69" spans="2:6" ht="15.75" thickBot="1" x14ac:dyDescent="0.3">
      <c r="B69" s="28" t="s">
        <v>52</v>
      </c>
      <c r="C69" s="29"/>
      <c r="D69" s="24">
        <f>D65+D68</f>
        <v>1396650</v>
      </c>
      <c r="E69" s="24">
        <f>E65+E68</f>
        <v>1657175</v>
      </c>
      <c r="F69" s="24">
        <f>F65+F68</f>
        <v>1745206.8954620936</v>
      </c>
    </row>
    <row r="70" spans="2:6" ht="6" customHeight="1" x14ac:dyDescent="0.25"/>
    <row r="71" spans="2:6" ht="4.5" customHeight="1" thickBot="1" x14ac:dyDescent="0.3"/>
    <row r="72" spans="2:6" ht="15.75" thickBot="1" x14ac:dyDescent="0.3">
      <c r="C72" s="20" t="s">
        <v>293</v>
      </c>
      <c r="D72" s="21">
        <f>D58-D69</f>
        <v>0</v>
      </c>
      <c r="E72" s="21">
        <f>E58-E69</f>
        <v>0</v>
      </c>
      <c r="F72" s="19">
        <f>F69-F58</f>
        <v>-462545.21742737317</v>
      </c>
    </row>
    <row r="73" spans="2:6" ht="10.5" customHeight="1" thickBot="1" x14ac:dyDescent="0.3">
      <c r="B73" s="29"/>
      <c r="C73" s="29"/>
      <c r="D73" s="24"/>
      <c r="E73" s="24"/>
      <c r="F73" s="24"/>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2FABF-FC4F-445E-AC51-35616EE7E829}">
  <dimension ref="B2:M72"/>
  <sheetViews>
    <sheetView showGridLines="0" workbookViewId="0">
      <selection activeCell="G22" sqref="G22"/>
    </sheetView>
  </sheetViews>
  <sheetFormatPr defaultColWidth="9.140625" defaultRowHeight="15" x14ac:dyDescent="0.25"/>
  <cols>
    <col min="1" max="1" width="3" customWidth="1"/>
    <col min="3" max="3" width="3.7109375" customWidth="1"/>
    <col min="4" max="4" width="3.28515625" customWidth="1"/>
    <col min="5" max="5" width="72.28515625" customWidth="1"/>
    <col min="6" max="6" width="11.42578125" bestFit="1" customWidth="1"/>
    <col min="7" max="7" width="12.140625" bestFit="1" customWidth="1"/>
    <col min="12" max="12" width="9.42578125" bestFit="1" customWidth="1"/>
    <col min="13" max="13" width="11.7109375" customWidth="1"/>
    <col min="14" max="14" width="10.7109375" customWidth="1"/>
  </cols>
  <sheetData>
    <row r="2" spans="2:13" ht="18.75" x14ac:dyDescent="0.25">
      <c r="B2" s="16"/>
      <c r="E2" s="77" t="s">
        <v>210</v>
      </c>
    </row>
    <row r="3" spans="2:13" x14ac:dyDescent="0.25">
      <c r="B3" s="16"/>
      <c r="E3" s="78" t="s">
        <v>266</v>
      </c>
    </row>
    <row r="4" spans="2:13" x14ac:dyDescent="0.25">
      <c r="B4" s="16"/>
    </row>
    <row r="5" spans="2:13" x14ac:dyDescent="0.25">
      <c r="B5" s="16"/>
      <c r="E5" s="15" t="s">
        <v>125</v>
      </c>
    </row>
    <row r="6" spans="2:13" x14ac:dyDescent="0.25">
      <c r="E6" s="15" t="s">
        <v>126</v>
      </c>
    </row>
    <row r="7" spans="2:13" ht="15.75" thickBot="1" x14ac:dyDescent="0.3"/>
    <row r="8" spans="2:13" ht="15.75" thickBot="1" x14ac:dyDescent="0.3">
      <c r="B8" s="82" t="b">
        <v>1</v>
      </c>
      <c r="C8" s="83" t="s">
        <v>0</v>
      </c>
      <c r="D8" s="83"/>
      <c r="E8" s="130" t="s">
        <v>295</v>
      </c>
      <c r="L8" s="4"/>
      <c r="M8" s="4"/>
    </row>
    <row r="9" spans="2:13" ht="30.6" customHeight="1" x14ac:dyDescent="0.25">
      <c r="E9" s="130"/>
      <c r="L9" s="4"/>
      <c r="M9" s="4"/>
    </row>
    <row r="10" spans="2:13" ht="15.75" thickBot="1" x14ac:dyDescent="0.3">
      <c r="L10" s="4"/>
      <c r="M10" s="4"/>
    </row>
    <row r="11" spans="2:13" ht="18" customHeight="1" thickBot="1" x14ac:dyDescent="0.3">
      <c r="B11" s="82" t="b">
        <v>1</v>
      </c>
      <c r="C11" s="83" t="s">
        <v>1</v>
      </c>
      <c r="D11" s="83"/>
      <c r="E11" s="130" t="s">
        <v>296</v>
      </c>
      <c r="L11" s="4"/>
      <c r="M11" s="4"/>
    </row>
    <row r="12" spans="2:13" ht="18" customHeight="1" x14ac:dyDescent="0.25">
      <c r="E12" s="130"/>
      <c r="L12" s="4"/>
      <c r="M12" s="4"/>
    </row>
    <row r="13" spans="2:13" ht="15.75" thickBot="1" x14ac:dyDescent="0.3">
      <c r="L13" s="4"/>
      <c r="M13" s="4"/>
    </row>
    <row r="14" spans="2:13" ht="18" customHeight="1" thickBot="1" x14ac:dyDescent="0.3">
      <c r="B14" s="82" t="b">
        <v>0</v>
      </c>
      <c r="C14" s="83" t="s">
        <v>6</v>
      </c>
      <c r="D14" s="83"/>
      <c r="E14" s="130" t="s">
        <v>209</v>
      </c>
      <c r="L14" s="4"/>
      <c r="M14" s="4"/>
    </row>
    <row r="15" spans="2:13" x14ac:dyDescent="0.25">
      <c r="E15" s="130"/>
      <c r="L15" s="4"/>
      <c r="M15" s="4"/>
    </row>
    <row r="16" spans="2:13" ht="15.75" thickBot="1" x14ac:dyDescent="0.3">
      <c r="L16" s="4"/>
      <c r="M16" s="4"/>
    </row>
    <row r="17" spans="2:13" ht="15" customHeight="1" thickBot="1" x14ac:dyDescent="0.3">
      <c r="B17" s="82" t="b">
        <v>1</v>
      </c>
      <c r="C17" s="83" t="s">
        <v>7</v>
      </c>
      <c r="D17" s="83"/>
      <c r="E17" s="130" t="s">
        <v>243</v>
      </c>
      <c r="L17" s="4"/>
      <c r="M17" s="4"/>
    </row>
    <row r="18" spans="2:13" ht="25.9" customHeight="1" thickBot="1" x14ac:dyDescent="0.3">
      <c r="E18" s="130"/>
      <c r="L18" s="4"/>
      <c r="M18" s="4"/>
    </row>
    <row r="19" spans="2:13" ht="16.5" customHeight="1" thickBot="1" x14ac:dyDescent="0.3">
      <c r="B19" s="82" t="b">
        <v>1</v>
      </c>
      <c r="C19" s="83" t="s">
        <v>127</v>
      </c>
      <c r="D19" s="83"/>
      <c r="E19" s="130" t="s">
        <v>297</v>
      </c>
    </row>
    <row r="20" spans="2:13" ht="16.5" customHeight="1" x14ac:dyDescent="0.25">
      <c r="E20" s="130"/>
    </row>
    <row r="21" spans="2:13" ht="15.75" thickBot="1" x14ac:dyDescent="0.3"/>
    <row r="22" spans="2:13" ht="15.75" thickBot="1" x14ac:dyDescent="0.3">
      <c r="B22" s="82" t="s">
        <v>298</v>
      </c>
      <c r="C22" s="83" t="s">
        <v>128</v>
      </c>
      <c r="D22" s="83"/>
      <c r="E22" s="130" t="s">
        <v>202</v>
      </c>
    </row>
    <row r="23" spans="2:13" x14ac:dyDescent="0.25">
      <c r="E23" s="130"/>
    </row>
    <row r="24" spans="2:13" x14ac:dyDescent="0.25">
      <c r="D24" t="s">
        <v>129</v>
      </c>
      <c r="E24" t="s">
        <v>299</v>
      </c>
    </row>
    <row r="25" spans="2:13" x14ac:dyDescent="0.25">
      <c r="D25" t="s">
        <v>130</v>
      </c>
      <c r="E25" t="s">
        <v>204</v>
      </c>
    </row>
    <row r="26" spans="2:13" x14ac:dyDescent="0.25">
      <c r="D26" t="s">
        <v>131</v>
      </c>
      <c r="E26" t="s">
        <v>203</v>
      </c>
    </row>
    <row r="27" spans="2:13" x14ac:dyDescent="0.25">
      <c r="D27" t="s">
        <v>132</v>
      </c>
      <c r="E27" t="s">
        <v>205</v>
      </c>
    </row>
    <row r="28" spans="2:13" x14ac:dyDescent="0.25">
      <c r="D28" t="s">
        <v>133</v>
      </c>
      <c r="E28" t="s">
        <v>134</v>
      </c>
    </row>
    <row r="29" spans="2:13" ht="15.75" thickBot="1" x14ac:dyDescent="0.3"/>
    <row r="30" spans="2:13" ht="18.75" customHeight="1" thickBot="1" x14ac:dyDescent="0.3">
      <c r="B30" s="82" t="b">
        <v>0</v>
      </c>
      <c r="C30" s="83" t="s">
        <v>135</v>
      </c>
      <c r="D30" s="83"/>
      <c r="E30" s="130" t="s">
        <v>300</v>
      </c>
    </row>
    <row r="31" spans="2:13" ht="23.45" customHeight="1" x14ac:dyDescent="0.25">
      <c r="E31" s="130"/>
    </row>
    <row r="32" spans="2:13" ht="15.75" thickBot="1" x14ac:dyDescent="0.3"/>
    <row r="33" spans="2:5" ht="15.75" thickBot="1" x14ac:dyDescent="0.3">
      <c r="B33" s="82" t="s">
        <v>301</v>
      </c>
      <c r="C33" s="83" t="s">
        <v>136</v>
      </c>
      <c r="D33" s="83"/>
      <c r="E33" s="130" t="s">
        <v>302</v>
      </c>
    </row>
    <row r="34" spans="2:5" ht="44.25" customHeight="1" x14ac:dyDescent="0.25">
      <c r="E34" s="130"/>
    </row>
    <row r="35" spans="2:5" x14ac:dyDescent="0.25">
      <c r="D35" t="s">
        <v>129</v>
      </c>
      <c r="E35" t="s">
        <v>206</v>
      </c>
    </row>
    <row r="36" spans="2:5" x14ac:dyDescent="0.25">
      <c r="D36" t="s">
        <v>130</v>
      </c>
      <c r="E36" t="s">
        <v>303</v>
      </c>
    </row>
    <row r="37" spans="2:5" x14ac:dyDescent="0.25">
      <c r="D37" t="s">
        <v>131</v>
      </c>
      <c r="E37" t="s">
        <v>304</v>
      </c>
    </row>
    <row r="38" spans="2:5" x14ac:dyDescent="0.25">
      <c r="D38" t="s">
        <v>132</v>
      </c>
      <c r="E38" t="s">
        <v>23</v>
      </c>
    </row>
    <row r="39" spans="2:5" x14ac:dyDescent="0.25">
      <c r="D39" t="s">
        <v>133</v>
      </c>
      <c r="E39" t="s">
        <v>207</v>
      </c>
    </row>
    <row r="40" spans="2:5" ht="15.75" thickBot="1" x14ac:dyDescent="0.3"/>
    <row r="41" spans="2:5" ht="20.25" customHeight="1" thickBot="1" x14ac:dyDescent="0.3">
      <c r="B41" s="82" t="b">
        <v>1</v>
      </c>
      <c r="C41" s="83" t="s">
        <v>137</v>
      </c>
      <c r="D41" s="83"/>
      <c r="E41" s="122" t="s">
        <v>305</v>
      </c>
    </row>
    <row r="42" spans="2:5" ht="41.25" customHeight="1" x14ac:dyDescent="0.25">
      <c r="E42" s="122" t="s">
        <v>306</v>
      </c>
    </row>
    <row r="43" spans="2:5" ht="15.75" thickBot="1" x14ac:dyDescent="0.3">
      <c r="E43" s="84"/>
    </row>
    <row r="44" spans="2:5" ht="15.75" thickBot="1" x14ac:dyDescent="0.3">
      <c r="B44" s="82" t="s">
        <v>228</v>
      </c>
      <c r="C44" s="83" t="s">
        <v>138</v>
      </c>
      <c r="E44" s="84" t="s">
        <v>307</v>
      </c>
    </row>
    <row r="45" spans="2:5" x14ac:dyDescent="0.25">
      <c r="E45" s="84"/>
    </row>
    <row r="46" spans="2:5" x14ac:dyDescent="0.25">
      <c r="D46" t="s">
        <v>129</v>
      </c>
      <c r="E46" s="84" t="s">
        <v>308</v>
      </c>
    </row>
    <row r="47" spans="2:5" x14ac:dyDescent="0.25">
      <c r="D47" t="s">
        <v>130</v>
      </c>
      <c r="E47" s="84" t="s">
        <v>309</v>
      </c>
    </row>
    <row r="48" spans="2:5" x14ac:dyDescent="0.25">
      <c r="D48" t="s">
        <v>131</v>
      </c>
      <c r="E48" s="84" t="s">
        <v>310</v>
      </c>
    </row>
    <row r="49" spans="2:5" x14ac:dyDescent="0.25">
      <c r="D49" t="s">
        <v>132</v>
      </c>
      <c r="E49" s="84" t="s">
        <v>311</v>
      </c>
    </row>
    <row r="50" spans="2:5" x14ac:dyDescent="0.25">
      <c r="D50" t="s">
        <v>133</v>
      </c>
      <c r="E50" s="84" t="s">
        <v>227</v>
      </c>
    </row>
    <row r="51" spans="2:5" ht="15.75" thickBot="1" x14ac:dyDescent="0.3">
      <c r="E51" s="84"/>
    </row>
    <row r="52" spans="2:5" ht="15.75" thickBot="1" x14ac:dyDescent="0.3">
      <c r="B52" s="82" t="s">
        <v>312</v>
      </c>
      <c r="C52" s="83" t="s">
        <v>229</v>
      </c>
      <c r="E52" s="84" t="s">
        <v>313</v>
      </c>
    </row>
    <row r="53" spans="2:5" x14ac:dyDescent="0.25">
      <c r="E53" s="84"/>
    </row>
    <row r="54" spans="2:5" x14ac:dyDescent="0.25">
      <c r="D54" t="s">
        <v>129</v>
      </c>
      <c r="E54" s="84" t="s">
        <v>308</v>
      </c>
    </row>
    <row r="55" spans="2:5" x14ac:dyDescent="0.25">
      <c r="D55" t="s">
        <v>130</v>
      </c>
      <c r="E55" s="84" t="s">
        <v>309</v>
      </c>
    </row>
    <row r="56" spans="2:5" x14ac:dyDescent="0.25">
      <c r="D56" t="s">
        <v>131</v>
      </c>
      <c r="E56" s="84" t="s">
        <v>310</v>
      </c>
    </row>
    <row r="57" spans="2:5" x14ac:dyDescent="0.25">
      <c r="D57" t="s">
        <v>132</v>
      </c>
      <c r="E57" s="84" t="s">
        <v>311</v>
      </c>
    </row>
    <row r="58" spans="2:5" x14ac:dyDescent="0.25">
      <c r="D58" t="s">
        <v>133</v>
      </c>
      <c r="E58" s="84" t="s">
        <v>314</v>
      </c>
    </row>
    <row r="59" spans="2:5" ht="15.75" thickBot="1" x14ac:dyDescent="0.3">
      <c r="E59" s="84"/>
    </row>
    <row r="60" spans="2:5" ht="15.75" thickBot="1" x14ac:dyDescent="0.3">
      <c r="B60" s="82" t="b">
        <v>1</v>
      </c>
      <c r="C60" s="83" t="s">
        <v>230</v>
      </c>
      <c r="D60" s="83"/>
      <c r="E60" s="130" t="s">
        <v>315</v>
      </c>
    </row>
    <row r="61" spans="2:5" ht="18" customHeight="1" x14ac:dyDescent="0.25">
      <c r="E61" s="130"/>
    </row>
    <row r="62" spans="2:5" ht="15.75" thickBot="1" x14ac:dyDescent="0.3">
      <c r="E62" s="84"/>
    </row>
    <row r="63" spans="2:5" ht="15.75" thickBot="1" x14ac:dyDescent="0.3">
      <c r="B63" s="82" t="b">
        <v>1</v>
      </c>
      <c r="C63" s="83" t="s">
        <v>231</v>
      </c>
      <c r="D63" s="83"/>
      <c r="E63" s="130" t="s">
        <v>316</v>
      </c>
    </row>
    <row r="64" spans="2:5" x14ac:dyDescent="0.25">
      <c r="E64" s="130"/>
    </row>
    <row r="65" spans="2:5" ht="15.75" thickBot="1" x14ac:dyDescent="0.3">
      <c r="E65" s="84"/>
    </row>
    <row r="66" spans="2:5" ht="15.75" thickBot="1" x14ac:dyDescent="0.3">
      <c r="B66" s="82" t="b">
        <v>1</v>
      </c>
      <c r="C66" s="83" t="s">
        <v>232</v>
      </c>
      <c r="D66" s="83"/>
      <c r="E66" s="130" t="s">
        <v>317</v>
      </c>
    </row>
    <row r="67" spans="2:5" x14ac:dyDescent="0.25">
      <c r="E67" s="130"/>
    </row>
    <row r="68" spans="2:5" x14ac:dyDescent="0.25">
      <c r="E68" s="84"/>
    </row>
    <row r="69" spans="2:5" x14ac:dyDescent="0.25">
      <c r="E69" s="84"/>
    </row>
    <row r="70" spans="2:5" x14ac:dyDescent="0.25">
      <c r="E70" s="84"/>
    </row>
    <row r="71" spans="2:5" x14ac:dyDescent="0.25">
      <c r="E71" s="84"/>
    </row>
    <row r="72" spans="2:5" x14ac:dyDescent="0.25">
      <c r="E72" s="84"/>
    </row>
  </sheetData>
  <mergeCells count="11">
    <mergeCell ref="E22:E23"/>
    <mergeCell ref="E8:E9"/>
    <mergeCell ref="E11:E12"/>
    <mergeCell ref="E14:E15"/>
    <mergeCell ref="E17:E18"/>
    <mergeCell ref="E19:E20"/>
    <mergeCell ref="E30:E31"/>
    <mergeCell ref="E33:E34"/>
    <mergeCell ref="E60:E61"/>
    <mergeCell ref="E63:E64"/>
    <mergeCell ref="E66:E6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I8"/>
  <sheetViews>
    <sheetView zoomScale="160" zoomScaleNormal="160" workbookViewId="0">
      <selection activeCell="B5" sqref="B5:I8"/>
    </sheetView>
  </sheetViews>
  <sheetFormatPr defaultRowHeight="15" x14ac:dyDescent="0.25"/>
  <cols>
    <col min="1" max="1" width="3" customWidth="1"/>
  </cols>
  <sheetData>
    <row r="4" spans="2:9" ht="15.75" thickBot="1" x14ac:dyDescent="0.3"/>
    <row r="5" spans="2:9" x14ac:dyDescent="0.25">
      <c r="B5" s="95">
        <v>1</v>
      </c>
      <c r="C5" s="100" t="b">
        <f>'MC-TF 20 Pts'!B8</f>
        <v>1</v>
      </c>
      <c r="D5" s="104">
        <v>5</v>
      </c>
      <c r="E5" s="105" t="b">
        <f>'MC-TF 20 Pts'!B19</f>
        <v>1</v>
      </c>
      <c r="F5" s="95">
        <v>9</v>
      </c>
      <c r="G5" s="100" t="b">
        <f>'MC-TF 20 Pts'!B41</f>
        <v>1</v>
      </c>
      <c r="H5" s="104">
        <v>13</v>
      </c>
      <c r="I5" s="100" t="b">
        <f>'MC-TF 20 Pts'!B63</f>
        <v>1</v>
      </c>
    </row>
    <row r="6" spans="2:9" x14ac:dyDescent="0.25">
      <c r="B6" s="54">
        <v>2</v>
      </c>
      <c r="C6" s="101" t="b">
        <f>'MC-TF 20 Pts'!B11</f>
        <v>1</v>
      </c>
      <c r="D6" s="99">
        <v>6</v>
      </c>
      <c r="E6" s="103" t="str">
        <f>'MC-TF 20 Pts'!B22</f>
        <v>E</v>
      </c>
      <c r="F6" s="54">
        <v>10</v>
      </c>
      <c r="G6" s="101" t="str">
        <f>'MC-TF 20 Pts'!B44</f>
        <v>B</v>
      </c>
      <c r="H6" s="99">
        <v>14</v>
      </c>
      <c r="I6" s="101" t="b">
        <f>'MC-TF 20 Pts'!B66</f>
        <v>1</v>
      </c>
    </row>
    <row r="7" spans="2:9" x14ac:dyDescent="0.25">
      <c r="B7" s="54">
        <v>3</v>
      </c>
      <c r="C7" s="101" t="b">
        <f>'MC-TF 20 Pts'!B14</f>
        <v>0</v>
      </c>
      <c r="D7" s="99">
        <v>7</v>
      </c>
      <c r="E7" s="103" t="b">
        <f>'MC-TF 20 Pts'!B30</f>
        <v>0</v>
      </c>
      <c r="F7" s="54">
        <v>11</v>
      </c>
      <c r="G7" s="101" t="str">
        <f>'MC-TF 20 Pts'!B52</f>
        <v>A</v>
      </c>
      <c r="H7" s="108"/>
      <c r="I7" s="109"/>
    </row>
    <row r="8" spans="2:9" ht="15.75" thickBot="1" x14ac:dyDescent="0.3">
      <c r="B8" s="53">
        <v>4</v>
      </c>
      <c r="C8" s="102" t="b">
        <f>'MC-TF 20 Pts'!B17</f>
        <v>1</v>
      </c>
      <c r="D8" s="106">
        <v>8</v>
      </c>
      <c r="E8" s="107" t="str">
        <f>'MC-TF 20 Pts'!B33</f>
        <v>C</v>
      </c>
      <c r="F8" s="53">
        <v>12</v>
      </c>
      <c r="G8" s="102" t="b">
        <f>'MC-TF 20 Pts'!B60</f>
        <v>1</v>
      </c>
      <c r="H8" s="110"/>
      <c r="I8" s="1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P1 - 24 Pts</vt:lpstr>
      <vt:lpstr>P2 - 5 Pts</vt:lpstr>
      <vt:lpstr>P3 - 08 Pts</vt:lpstr>
      <vt:lpstr>P4 08 Pts</vt:lpstr>
      <vt:lpstr>P5 - 20 Pts</vt:lpstr>
      <vt:lpstr>P6 - 15 Pts</vt:lpstr>
      <vt:lpstr>MC-TF 20 Pts</vt:lpstr>
      <vt:lpstr>Sheet1</vt:lpstr>
      <vt:lpstr>'P5 - 20 Pts'!OLE_LINK1</vt:lpstr>
      <vt:lpstr>Periods</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2010-04-05T16:12:33Z</cp:lastPrinted>
  <dcterms:created xsi:type="dcterms:W3CDTF">2010-01-13T00:10:02Z</dcterms:created>
  <dcterms:modified xsi:type="dcterms:W3CDTF">2019-04-03T17:59:26Z</dcterms:modified>
</cp:coreProperties>
</file>