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eta\Desktop\Fin 361\Spring 2021\Exam 2\Original empty, solved and rubric\"/>
    </mc:Choice>
  </mc:AlternateContent>
  <bookViews>
    <workbookView xWindow="0" yWindow="0" windowWidth="3972" windowHeight="6600" tabRatio="681"/>
  </bookViews>
  <sheets>
    <sheet name="INSTRUCTIONS" sheetId="21" r:id="rId1"/>
    <sheet name="P1 - 20 Pts" sheetId="2" r:id="rId2"/>
    <sheet name="P2 - 5 Pts" sheetId="10" r:id="rId3"/>
    <sheet name="P3 - 10 Pts" sheetId="11" r:id="rId4"/>
    <sheet name="P4 - 5Pts" sheetId="14" r:id="rId5"/>
    <sheet name="P5 - 20 Pts" sheetId="1" r:id="rId6"/>
    <sheet name="P6 - 20 Pts" sheetId="18" r:id="rId7"/>
    <sheet name="MC-TF 20 Pts" sheetId="19" r:id="rId8"/>
  </sheets>
  <definedNames>
    <definedName name="OLE_LINK1" localSheetId="5">'P5 - 20 Pts'!$C$65</definedName>
    <definedName name="Periods">'P1 - 20 Pts'!$O$21</definedName>
    <definedName name="Rate">'P1 - 20 Pts'!$F$23</definedName>
    <definedName name="Term">'P1 - 20 Pts'!$F$22</definedName>
  </definedNames>
  <calcPr calcId="191029"/>
</workbook>
</file>

<file path=xl/calcChain.xml><?xml version="1.0" encoding="utf-8"?>
<calcChain xmlns="http://schemas.openxmlformats.org/spreadsheetml/2006/main">
  <c r="B94" i="19" l="1"/>
  <c r="B93" i="19"/>
  <c r="B92" i="19"/>
  <c r="B91" i="19"/>
  <c r="B90" i="19"/>
  <c r="B89" i="19"/>
  <c r="B88" i="19"/>
  <c r="B87" i="19"/>
  <c r="B86" i="19"/>
  <c r="B85" i="19"/>
  <c r="B84" i="19"/>
  <c r="B83" i="19"/>
  <c r="B82" i="19"/>
  <c r="B81" i="19"/>
  <c r="B80" i="19"/>
  <c r="F67" i="18" l="1"/>
  <c r="F38" i="18"/>
  <c r="D107" i="1"/>
  <c r="E86" i="1"/>
  <c r="E72" i="1" l="1"/>
  <c r="F73" i="1" s="1"/>
  <c r="E70" i="1"/>
  <c r="F71" i="1" s="1"/>
  <c r="D34" i="1"/>
  <c r="E20" i="1"/>
  <c r="H21" i="11"/>
  <c r="H23" i="11" s="1"/>
  <c r="H25" i="11" l="1"/>
  <c r="H27" i="11" s="1"/>
  <c r="E51" i="18" l="1"/>
  <c r="D51" i="18"/>
  <c r="D68" i="18" l="1"/>
  <c r="E63" i="18"/>
  <c r="E65" i="18" s="1"/>
  <c r="D63" i="18"/>
  <c r="D65" i="18" s="1"/>
  <c r="I60" i="18"/>
  <c r="H60" i="18"/>
  <c r="D57" i="18"/>
  <c r="E56" i="18"/>
  <c r="E57" i="18" s="1"/>
  <c r="F55" i="18"/>
  <c r="I53" i="18"/>
  <c r="H53" i="18"/>
  <c r="E52" i="18"/>
  <c r="I52" i="18" s="1"/>
  <c r="D52" i="18"/>
  <c r="D54" i="18" s="1"/>
  <c r="F44" i="18"/>
  <c r="F42" i="18"/>
  <c r="I40" i="18"/>
  <c r="H40" i="18"/>
  <c r="E39" i="18"/>
  <c r="E43" i="18" s="1"/>
  <c r="E45" i="18" s="1"/>
  <c r="D39" i="18"/>
  <c r="D43" i="18" s="1"/>
  <c r="D45" i="18" s="1"/>
  <c r="I38" i="18"/>
  <c r="H38" i="18"/>
  <c r="J38" i="18" s="1"/>
  <c r="F37" i="18"/>
  <c r="J53" i="18" l="1"/>
  <c r="F53" i="18" s="1"/>
  <c r="J40" i="18"/>
  <c r="F40" i="18" s="1"/>
  <c r="J60" i="18"/>
  <c r="F60" i="18" s="1"/>
  <c r="F63" i="18" s="1"/>
  <c r="F65" i="18" s="1"/>
  <c r="F39" i="18"/>
  <c r="D69" i="18"/>
  <c r="D58" i="18"/>
  <c r="D72" i="18" s="1"/>
  <c r="F56" i="18"/>
  <c r="F57" i="18" s="1"/>
  <c r="E46" i="18"/>
  <c r="E47" i="18" s="1"/>
  <c r="E67" i="18" s="1"/>
  <c r="D46" i="18"/>
  <c r="D47" i="18" s="1"/>
  <c r="H52" i="18"/>
  <c r="J52" i="18" s="1"/>
  <c r="F52" i="18" s="1"/>
  <c r="E54" i="18"/>
  <c r="E58" i="18" s="1"/>
  <c r="F43" i="18" l="1"/>
  <c r="F45" i="18" s="1"/>
  <c r="F46" i="18" s="1"/>
  <c r="F47" i="18" s="1"/>
  <c r="F68" i="18" s="1"/>
  <c r="F69" i="18" s="1"/>
  <c r="E68" i="18"/>
  <c r="E69" i="18" s="1"/>
  <c r="E72" i="18" s="1"/>
  <c r="F54" i="18"/>
  <c r="F58" i="18" s="1"/>
  <c r="F72" i="18" l="1"/>
  <c r="E21" i="1" l="1"/>
  <c r="E22" i="1" s="1"/>
  <c r="E23" i="1" s="1"/>
  <c r="E24" i="1" s="1"/>
  <c r="E25" i="1" s="1"/>
  <c r="F74" i="1" l="1"/>
  <c r="G75" i="1" s="1"/>
  <c r="I20" i="14"/>
  <c r="G76" i="1" l="1"/>
  <c r="G77" i="1" s="1"/>
  <c r="I27" i="14"/>
  <c r="I28" i="14" l="1"/>
  <c r="I21" i="14" l="1"/>
  <c r="I29" i="14"/>
  <c r="I22" i="14" l="1"/>
  <c r="I30" i="14"/>
  <c r="I23" i="14" s="1"/>
  <c r="O20" i="11" l="1"/>
  <c r="F46" i="1" l="1"/>
  <c r="F45" i="1"/>
  <c r="F44" i="1"/>
  <c r="F43" i="1"/>
  <c r="P19" i="11" l="1"/>
  <c r="G19" i="10"/>
  <c r="P20" i="11" l="1"/>
  <c r="O21" i="11"/>
  <c r="G23" i="10"/>
  <c r="G31" i="10" s="1"/>
  <c r="G30" i="2"/>
  <c r="O21" i="2"/>
  <c r="O22" i="11" l="1"/>
  <c r="O23" i="11" s="1"/>
  <c r="O24" i="11" s="1"/>
  <c r="O25" i="11" s="1"/>
  <c r="O26" i="11" s="1"/>
  <c r="O27" i="11" s="1"/>
  <c r="O28" i="11" s="1"/>
  <c r="O29" i="11" s="1"/>
  <c r="O30" i="11" s="1"/>
  <c r="O31" i="11" s="1"/>
  <c r="O32" i="11" s="1"/>
  <c r="O33" i="11" s="1"/>
  <c r="O34" i="11" s="1"/>
  <c r="P21" i="11"/>
  <c r="D31" i="2"/>
  <c r="D35" i="2" s="1"/>
  <c r="H25" i="2"/>
  <c r="E31" i="2"/>
  <c r="D83" i="2" l="1"/>
  <c r="D84" i="2"/>
  <c r="D85" i="2"/>
  <c r="D86" i="2"/>
  <c r="D87" i="2"/>
  <c r="D88" i="2"/>
  <c r="D89" i="2"/>
  <c r="D79" i="2"/>
  <c r="D80" i="2"/>
  <c r="D81" i="2"/>
  <c r="D82" i="2"/>
  <c r="D90" i="2"/>
  <c r="O35" i="11"/>
  <c r="P22" i="11"/>
  <c r="P23" i="11" s="1"/>
  <c r="P24" i="11" s="1"/>
  <c r="P25" i="11" s="1"/>
  <c r="P26" i="11" s="1"/>
  <c r="P27" i="11" s="1"/>
  <c r="P28" i="11" s="1"/>
  <c r="P29" i="11" s="1"/>
  <c r="P30" i="11" s="1"/>
  <c r="P31" i="11" s="1"/>
  <c r="P32" i="11" s="1"/>
  <c r="P33" i="11" s="1"/>
  <c r="P34" i="11" s="1"/>
  <c r="D67" i="2"/>
  <c r="D75" i="2"/>
  <c r="D70" i="2"/>
  <c r="D74" i="2"/>
  <c r="D78" i="2"/>
  <c r="D68" i="2"/>
  <c r="D72" i="2"/>
  <c r="D76" i="2"/>
  <c r="D71" i="2"/>
  <c r="D69" i="2"/>
  <c r="D73" i="2"/>
  <c r="D77" i="2"/>
  <c r="H22" i="2"/>
  <c r="D39" i="2"/>
  <c r="D43" i="2"/>
  <c r="D47" i="2"/>
  <c r="D34" i="2"/>
  <c r="D33" i="2"/>
  <c r="D52" i="2"/>
  <c r="D56" i="2"/>
  <c r="D60" i="2"/>
  <c r="D64" i="2"/>
  <c r="D40" i="2"/>
  <c r="D44" i="2"/>
  <c r="D48" i="2"/>
  <c r="D38" i="2"/>
  <c r="D36" i="2"/>
  <c r="D53" i="2"/>
  <c r="D57" i="2"/>
  <c r="D61" i="2"/>
  <c r="D65" i="2"/>
  <c r="D41" i="2"/>
  <c r="D45" i="2"/>
  <c r="D49" i="2"/>
  <c r="F31" i="2"/>
  <c r="G31" i="2" s="1"/>
  <c r="E32" i="2" s="1"/>
  <c r="D32" i="2"/>
  <c r="D54" i="2"/>
  <c r="D58" i="2"/>
  <c r="D62" i="2"/>
  <c r="D66" i="2"/>
  <c r="D42" i="2"/>
  <c r="D46" i="2"/>
  <c r="D50" i="2"/>
  <c r="D37" i="2"/>
  <c r="D51" i="2"/>
  <c r="D55" i="2"/>
  <c r="D59" i="2"/>
  <c r="D63" i="2"/>
  <c r="O36" i="11" l="1"/>
  <c r="O37" i="11" s="1"/>
  <c r="O38" i="11" s="1"/>
  <c r="O39" i="11" s="1"/>
  <c r="O40" i="11" s="1"/>
  <c r="O41" i="11" s="1"/>
  <c r="O42" i="11" s="1"/>
  <c r="O43" i="11" s="1"/>
  <c r="P35" i="11"/>
  <c r="F32" i="2"/>
  <c r="G32" i="2" s="1"/>
  <c r="E33" i="2" s="1"/>
  <c r="F33" i="2" s="1"/>
  <c r="G33" i="2" s="1"/>
  <c r="E34" i="2" s="1"/>
  <c r="F34" i="2" s="1"/>
  <c r="G34" i="2" s="1"/>
  <c r="E35" i="2" s="1"/>
  <c r="F35" i="2" s="1"/>
  <c r="G35" i="2" s="1"/>
  <c r="E36" i="2" s="1"/>
  <c r="F36" i="2" s="1"/>
  <c r="G36" i="2" s="1"/>
  <c r="O44" i="11" l="1"/>
  <c r="O45" i="11" s="1"/>
  <c r="O46" i="11" s="1"/>
  <c r="O47" i="11" s="1"/>
  <c r="O48" i="11" s="1"/>
  <c r="O49" i="11" s="1"/>
  <c r="O50" i="11" s="1"/>
  <c r="O51" i="11" s="1"/>
  <c r="O52" i="11" s="1"/>
  <c r="P36" i="11"/>
  <c r="P37" i="11" s="1"/>
  <c r="P38" i="11" s="1"/>
  <c r="P39" i="11" s="1"/>
  <c r="P40" i="11" s="1"/>
  <c r="P41" i="11" s="1"/>
  <c r="P42" i="11" s="1"/>
  <c r="P43" i="11" s="1"/>
  <c r="P44" i="11" s="1"/>
  <c r="P45" i="11" s="1"/>
  <c r="P46" i="11" s="1"/>
  <c r="P47" i="11" s="1"/>
  <c r="P48" i="11" s="1"/>
  <c r="E37" i="2"/>
  <c r="F37" i="2" s="1"/>
  <c r="G37" i="2" s="1"/>
  <c r="P49" i="11" l="1"/>
  <c r="P50" i="11" s="1"/>
  <c r="P51" i="11" s="1"/>
  <c r="P52" i="11" s="1"/>
  <c r="P53" i="11" s="1"/>
  <c r="P54" i="11" s="1"/>
  <c r="P55" i="11" s="1"/>
  <c r="P56" i="11" s="1"/>
  <c r="P57" i="11" s="1"/>
  <c r="P58" i="11" s="1"/>
  <c r="P59" i="11" s="1"/>
  <c r="P60" i="11" s="1"/>
  <c r="P61" i="11" s="1"/>
  <c r="P62" i="11" s="1"/>
  <c r="P63" i="11" s="1"/>
  <c r="P64" i="11" s="1"/>
  <c r="P65" i="11" s="1"/>
  <c r="P66" i="11" s="1"/>
  <c r="P67" i="11" s="1"/>
  <c r="P68" i="11" s="1"/>
  <c r="P69" i="11" s="1"/>
  <c r="P70" i="11" s="1"/>
  <c r="P71" i="11" s="1"/>
  <c r="P72" i="11" s="1"/>
  <c r="P73" i="11" s="1"/>
  <c r="P74" i="11" s="1"/>
  <c r="P75" i="11" s="1"/>
  <c r="P76" i="11" s="1"/>
  <c r="P77" i="11" s="1"/>
  <c r="P78" i="11" s="1"/>
  <c r="P79" i="11" s="1"/>
  <c r="P80" i="11" s="1"/>
  <c r="P81" i="11" s="1"/>
  <c r="E38" i="2"/>
  <c r="F38" i="2" s="1"/>
  <c r="G38" i="2" s="1"/>
  <c r="E39" i="2" l="1"/>
  <c r="F39" i="2" s="1"/>
  <c r="G39" i="2" s="1"/>
  <c r="E40" i="2" l="1"/>
  <c r="F40" i="2" s="1"/>
  <c r="G40" i="2" s="1"/>
  <c r="E41" i="2" l="1"/>
  <c r="F41" i="2" s="1"/>
  <c r="G41" i="2" s="1"/>
  <c r="E42" i="2" l="1"/>
  <c r="F42" i="2" s="1"/>
  <c r="G42" i="2" s="1"/>
  <c r="E43" i="2" l="1"/>
  <c r="F43" i="2" s="1"/>
  <c r="G43" i="2" s="1"/>
  <c r="E44" i="2" l="1"/>
  <c r="F44" i="2" s="1"/>
  <c r="G44" i="2" s="1"/>
  <c r="E45" i="2" l="1"/>
  <c r="F45" i="2" s="1"/>
  <c r="G45" i="2" s="1"/>
  <c r="E46" i="2" l="1"/>
  <c r="F46" i="2" s="1"/>
  <c r="G46" i="2" s="1"/>
  <c r="E47" i="2" l="1"/>
  <c r="F47" i="2" s="1"/>
  <c r="G47" i="2" s="1"/>
  <c r="E48" i="2" l="1"/>
  <c r="F48" i="2" s="1"/>
  <c r="G48" i="2" s="1"/>
  <c r="E49" i="2" l="1"/>
  <c r="F49" i="2" s="1"/>
  <c r="G49" i="2" s="1"/>
  <c r="E50" i="2" l="1"/>
  <c r="F50" i="2" s="1"/>
  <c r="G50" i="2" s="1"/>
  <c r="E51" i="2" l="1"/>
  <c r="F51" i="2" s="1"/>
  <c r="G51" i="2" s="1"/>
  <c r="E52" i="2" l="1"/>
  <c r="F52" i="2" s="1"/>
  <c r="G52" i="2" s="1"/>
  <c r="E53" i="2" l="1"/>
  <c r="F53" i="2" s="1"/>
  <c r="G53" i="2" s="1"/>
  <c r="E54" i="2" l="1"/>
  <c r="F54" i="2" s="1"/>
  <c r="G54" i="2" s="1"/>
  <c r="E55" i="2" l="1"/>
  <c r="F55" i="2" s="1"/>
  <c r="G55" i="2" s="1"/>
  <c r="E56" i="2" l="1"/>
  <c r="F56" i="2" s="1"/>
  <c r="G56" i="2" s="1"/>
  <c r="E57" i="2" l="1"/>
  <c r="F57" i="2" s="1"/>
  <c r="G57" i="2" s="1"/>
  <c r="E58" i="2" l="1"/>
  <c r="F58" i="2" s="1"/>
  <c r="G58" i="2" s="1"/>
  <c r="E59" i="2" l="1"/>
  <c r="F59" i="2" s="1"/>
  <c r="G59" i="2" s="1"/>
  <c r="E60" i="2" l="1"/>
  <c r="F60" i="2" s="1"/>
  <c r="G60" i="2" s="1"/>
  <c r="E61" i="2" l="1"/>
  <c r="F61" i="2" s="1"/>
  <c r="G61" i="2" s="1"/>
  <c r="E62" i="2" l="1"/>
  <c r="F62" i="2" s="1"/>
  <c r="G62" i="2" s="1"/>
  <c r="E63" i="2" l="1"/>
  <c r="F63" i="2" s="1"/>
  <c r="G63" i="2" s="1"/>
  <c r="E64" i="2" l="1"/>
  <c r="F64" i="2" s="1"/>
  <c r="G64" i="2" s="1"/>
  <c r="E65" i="2" l="1"/>
  <c r="F65" i="2" s="1"/>
  <c r="G65" i="2" s="1"/>
  <c r="E66" i="2" l="1"/>
  <c r="F66" i="2" s="1"/>
  <c r="G66" i="2" s="1"/>
  <c r="E67" i="2" l="1"/>
  <c r="F67" i="2" s="1"/>
  <c r="G67" i="2" s="1"/>
  <c r="E68" i="2" l="1"/>
  <c r="F68" i="2" s="1"/>
  <c r="G68" i="2" s="1"/>
  <c r="E69" i="2" l="1"/>
  <c r="F69" i="2" s="1"/>
  <c r="G69" i="2" s="1"/>
  <c r="E70" i="2" l="1"/>
  <c r="F70" i="2" s="1"/>
  <c r="G70" i="2" s="1"/>
  <c r="E71" i="2" l="1"/>
  <c r="F71" i="2" s="1"/>
  <c r="G71" i="2" s="1"/>
  <c r="E72" i="2" l="1"/>
  <c r="F72" i="2" s="1"/>
  <c r="G72" i="2" s="1"/>
  <c r="E73" i="2" l="1"/>
  <c r="F73" i="2" s="1"/>
  <c r="G73" i="2" s="1"/>
  <c r="E74" i="2" l="1"/>
  <c r="F74" i="2" s="1"/>
  <c r="G74" i="2" s="1"/>
  <c r="E75" i="2" l="1"/>
  <c r="F75" i="2" s="1"/>
  <c r="G75" i="2" s="1"/>
  <c r="E76" i="2" l="1"/>
  <c r="F76" i="2" s="1"/>
  <c r="G76" i="2" s="1"/>
  <c r="E77" i="2" l="1"/>
  <c r="F77" i="2" s="1"/>
  <c r="G77" i="2" s="1"/>
  <c r="E78" i="2" l="1"/>
  <c r="F78" i="2" s="1"/>
  <c r="G78" i="2" s="1"/>
  <c r="E79" i="2" l="1"/>
  <c r="F79" i="2" s="1"/>
  <c r="G79" i="2" s="1"/>
  <c r="E80" i="2" l="1"/>
  <c r="F80" i="2" s="1"/>
  <c r="G80" i="2" s="1"/>
  <c r="E81" i="2" l="1"/>
  <c r="F81" i="2" s="1"/>
  <c r="G81" i="2" s="1"/>
  <c r="E82" i="2" l="1"/>
  <c r="F82" i="2" s="1"/>
  <c r="G82" i="2" s="1"/>
  <c r="E83" i="2" l="1"/>
  <c r="F83" i="2" s="1"/>
  <c r="G83" i="2" s="1"/>
  <c r="E84" i="2" l="1"/>
  <c r="F84" i="2" s="1"/>
  <c r="G84" i="2" s="1"/>
  <c r="E85" i="2" l="1"/>
  <c r="F85" i="2" s="1"/>
  <c r="G85" i="2" s="1"/>
  <c r="E86" i="2" l="1"/>
  <c r="F86" i="2" s="1"/>
  <c r="G86" i="2" s="1"/>
  <c r="E87" i="2" l="1"/>
  <c r="F87" i="2" s="1"/>
  <c r="G87" i="2" s="1"/>
  <c r="E88" i="2" l="1"/>
  <c r="F88" i="2" s="1"/>
  <c r="G88" i="2" s="1"/>
  <c r="E89" i="2" l="1"/>
  <c r="F89" i="2" s="1"/>
  <c r="G89" i="2" s="1"/>
  <c r="E90" i="2" l="1"/>
  <c r="F90" i="2" s="1"/>
  <c r="G90" i="2" s="1"/>
</calcChain>
</file>

<file path=xl/sharedStrings.xml><?xml version="1.0" encoding="utf-8"?>
<sst xmlns="http://schemas.openxmlformats.org/spreadsheetml/2006/main" count="397" uniqueCount="338">
  <si>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</si>
  <si>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</si>
  <si>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</si>
  <si>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</si>
  <si>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</si>
  <si>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</si>
  <si>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</si>
  <si>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</si>
  <si>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</si>
  <si>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</si>
  <si>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</si>
  <si>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</si>
  <si>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</si>
  <si>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</si>
  <si>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</si>
  <si>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</si>
  <si>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</si>
  <si>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</si>
  <si>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</si>
  <si>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</si>
  <si>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</si>
  <si>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</si>
  <si>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</si>
  <si>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</si>
  <si>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</si>
  <si>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</si>
  <si>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</si>
  <si>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</si>
  <si>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</si>
  <si>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</si>
  <si>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</si>
  <si>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</si>
  <si>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</si>
  <si>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</si>
  <si>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</si>
  <si>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</si>
  <si>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</si>
  <si>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</si>
  <si>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</si>
  <si>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</si>
  <si>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</si>
  <si>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</si>
  <si>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</si>
  <si>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</si>
  <si>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</si>
  <si>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</si>
  <si>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</si>
  <si>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</si>
  <si>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</si>
  <si>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</si>
  <si>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</si>
  <si>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</si>
  <si>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</si>
  <si>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</si>
  <si>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Points are shown on each tab. Partial credit will be given where possible.</t>
  </si>
  <si>
    <t>Interest Rate on Long Term Debt</t>
  </si>
  <si>
    <t>Interest Rate on Short Term Notes Payable</t>
  </si>
  <si>
    <t>INPUTS</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</si>
  <si>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</si>
  <si>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</si>
  <si>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</si>
  <si>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</si>
  <si>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</si>
  <si>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</si>
  <si>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</si>
  <si>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</si>
  <si>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</si>
  <si>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</si>
  <si>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</si>
  <si>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</si>
  <si>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</si>
  <si>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When you have completed this exam spreadsheet:</t>
  </si>
  <si>
    <t>Consider the following cash flow timeline:</t>
  </si>
  <si>
    <t>represented by $X in the timeline, are all identical amounts. In the space below,</t>
  </si>
  <si>
    <t>Annual</t>
  </si>
  <si>
    <t>Quarterly</t>
  </si>
  <si>
    <t>Monthly</t>
  </si>
  <si>
    <t>Term of Loan in Years</t>
  </si>
  <si>
    <t>Number of payments needed to pay</t>
  </si>
  <si>
    <t>Required regular payment on the loan</t>
  </si>
  <si>
    <t>not including the supplemental payment</t>
  </si>
  <si>
    <t xml:space="preserve">   supplemental payments made every month</t>
  </si>
  <si>
    <t xml:space="preserve">create whatever formulas are needed to find the value of $X. There are no inputs so you can </t>
  </si>
  <si>
    <t>Total Interest Paid</t>
  </si>
  <si>
    <t>Effective Annual</t>
  </si>
  <si>
    <t xml:space="preserve">  Interest Rate </t>
  </si>
  <si>
    <t xml:space="preserve">  over life of loan</t>
  </si>
  <si>
    <t>Time</t>
  </si>
  <si>
    <t xml:space="preserve">a year, that represent an investment opportunity. The investment will pay nothing </t>
  </si>
  <si>
    <t>Required Rate of Return</t>
  </si>
  <si>
    <t>In the yellow cell below, create ONE formula that computes the maximum amount you</t>
  </si>
  <si>
    <t>would be willing to pay for the investment given the inputs. All computations must</t>
  </si>
  <si>
    <t>Answer:</t>
  </si>
  <si>
    <t>Total PV at t=0 of known CFs</t>
  </si>
  <si>
    <t>PV at t=0 of unknowns</t>
  </si>
  <si>
    <t>Value of X's</t>
  </si>
  <si>
    <t>Points as marked for each question.</t>
  </si>
  <si>
    <t xml:space="preserve">some other amount in the final year. </t>
  </si>
  <si>
    <t xml:space="preserve">You are planning for your retirement. Your goal is to accumulate enough money in </t>
  </si>
  <si>
    <t>Ignore taxes. Lable your computation steps to enable partial credit. Your formulas should work</t>
  </si>
  <si>
    <t>for any positive value of the input interest rate.</t>
  </si>
  <si>
    <t>Average annual interest rate earned on the account:</t>
  </si>
  <si>
    <t>Computations</t>
  </si>
  <si>
    <t>#1</t>
  </si>
  <si>
    <t>#2</t>
  </si>
  <si>
    <t>#3</t>
  </si>
  <si>
    <t>&lt;-- Answer</t>
  </si>
  <si>
    <t xml:space="preserve">Create the necessary formulas in the yellow cells to compute the effective annual </t>
  </si>
  <si>
    <t>interest rates for the input nominal annual rate given the listed compounding periods.</t>
  </si>
  <si>
    <t>Nominal Annual Interest Rate (Input)</t>
  </si>
  <si>
    <t xml:space="preserve">Compounding
</t>
  </si>
  <si>
    <t>Effective
Annual
Rate</t>
  </si>
  <si>
    <t>Daily</t>
  </si>
  <si>
    <t>Continuous</t>
  </si>
  <si>
    <t>5.</t>
  </si>
  <si>
    <t>6.</t>
  </si>
  <si>
    <t>Deposit 1</t>
  </si>
  <si>
    <t>Deposit 2</t>
  </si>
  <si>
    <t>Deposit 3</t>
  </si>
  <si>
    <t>Deposit 4</t>
  </si>
  <si>
    <t>Deposit 5</t>
  </si>
  <si>
    <t>Deposit 6</t>
  </si>
  <si>
    <t>Deposit 7</t>
  </si>
  <si>
    <t>Deposit 8</t>
  </si>
  <si>
    <t>Deposit 9</t>
  </si>
  <si>
    <t>Deposit 10</t>
  </si>
  <si>
    <t>Deposit 11</t>
  </si>
  <si>
    <t>Deposit 12</t>
  </si>
  <si>
    <t>Deposit 13</t>
  </si>
  <si>
    <t>Deposit 14</t>
  </si>
  <si>
    <t>Deposit 15</t>
  </si>
  <si>
    <t>Deposit 16</t>
  </si>
  <si>
    <t>Deposit 17</t>
  </si>
  <si>
    <t>Deposit 18</t>
  </si>
  <si>
    <t>Deposit 19</t>
  </si>
  <si>
    <t>Deposit 20</t>
  </si>
  <si>
    <t>Deposit 21</t>
  </si>
  <si>
    <t>Deposit 22</t>
  </si>
  <si>
    <t>Deposit 23</t>
  </si>
  <si>
    <t>Deposit 24</t>
  </si>
  <si>
    <t>Deposit 25</t>
  </si>
  <si>
    <t>Withdrawal 1</t>
  </si>
  <si>
    <t>Withdrawal 2</t>
  </si>
  <si>
    <t>Withdrawal 3</t>
  </si>
  <si>
    <t>Withdrawal 4</t>
  </si>
  <si>
    <t>Withdrawal 5</t>
  </si>
  <si>
    <t>Withdrawal 6</t>
  </si>
  <si>
    <t>Withdrawal 7</t>
  </si>
  <si>
    <t>Withdrawal 8</t>
  </si>
  <si>
    <t>Withdrawal 9</t>
  </si>
  <si>
    <t>Withdrawal 10</t>
  </si>
  <si>
    <t>Withdrawal 11</t>
  </si>
  <si>
    <t>Withdrawal 12</t>
  </si>
  <si>
    <t>Withdrawal 13</t>
  </si>
  <si>
    <t>Withdrawal 14</t>
  </si>
  <si>
    <t>Withdrawal 15</t>
  </si>
  <si>
    <t>Withdrawal 16</t>
  </si>
  <si>
    <t>Withdrawal 17</t>
  </si>
  <si>
    <t>Withdrawal 18</t>
  </si>
  <si>
    <t>Withdrawal 19</t>
  </si>
  <si>
    <t>Withdrawal 20</t>
  </si>
  <si>
    <t>Cash</t>
  </si>
  <si>
    <t>Flow</t>
  </si>
  <si>
    <t>Account</t>
  </si>
  <si>
    <t>Date</t>
  </si>
  <si>
    <t>Action</t>
  </si>
  <si>
    <t>Do Nothing</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</si>
  <si>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</si>
  <si>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</si>
  <si>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</si>
  <si>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Subtract the first payment from #2</t>
  </si>
  <si>
    <t>has the same value today as #3 above</t>
  </si>
  <si>
    <t>Withdrawal 21</t>
  </si>
  <si>
    <t>Withdrawal 22</t>
  </si>
  <si>
    <t>Withdrawal 23</t>
  </si>
  <si>
    <t>Withdrawal 24</t>
  </si>
  <si>
    <t>Withdrawal 25</t>
  </si>
  <si>
    <t xml:space="preserve">In the green cell below, create a formula that extrapolates the linear trend from the </t>
  </si>
  <si>
    <t>t</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</si>
  <si>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</si>
  <si>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</si>
  <si>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</si>
  <si>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</si>
  <si>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</si>
  <si>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</si>
  <si>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</si>
  <si>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</si>
  <si>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</si>
  <si>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</si>
  <si>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t>Balance of loan one period before the designated payment:</t>
  </si>
  <si>
    <t>Interest portion of the designated payment:</t>
  </si>
  <si>
    <t>Principal portion of the designated payment:</t>
  </si>
  <si>
    <t>Balance of loan immediately following the designated payment:</t>
  </si>
  <si>
    <t>That is the amount you must compute.</t>
  </si>
  <si>
    <t>Your formulas should work for any reasonable value of the input. [3 Points]</t>
  </si>
  <si>
    <t>given in the input cell. [2 Points]</t>
  </si>
  <si>
    <t>Term of Loan in Years (1 to 30)</t>
  </si>
  <si>
    <t>Payment Number (1 to 360)</t>
  </si>
  <si>
    <t>#4</t>
  </si>
  <si>
    <t>t = 0</t>
  </si>
  <si>
    <t>t = 1</t>
  </si>
  <si>
    <t>t = 2</t>
  </si>
  <si>
    <t>t = 3</t>
  </si>
  <si>
    <t>t = 4</t>
  </si>
  <si>
    <t>t = 5</t>
  </si>
  <si>
    <t>t = 6</t>
  </si>
  <si>
    <t>t = 7</t>
  </si>
  <si>
    <t>t = 8</t>
  </si>
  <si>
    <t>t = 9</t>
  </si>
  <si>
    <t>t = 10</t>
  </si>
  <si>
    <t>Cash Flow</t>
  </si>
  <si>
    <t>$X</t>
  </si>
  <si>
    <r>
      <t xml:space="preserve">In the space below, create an </t>
    </r>
    <r>
      <rPr>
        <b/>
        <sz val="11"/>
        <color theme="1"/>
        <rFont val="Calibri"/>
        <family val="2"/>
        <scheme val="minor"/>
      </rPr>
      <t>X-Y scatter chart</t>
    </r>
    <r>
      <rPr>
        <sz val="11"/>
        <color theme="1"/>
        <rFont val="Calibri"/>
        <family val="2"/>
        <scheme val="minor"/>
      </rPr>
      <t xml:space="preserve"> that shows the actual sales from </t>
    </r>
  </si>
  <si>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[ 2 Points ]</t>
    </r>
  </si>
  <si>
    <t>Format the graph with a title and approriate X and Y axis lables.  [6 Points]</t>
  </si>
  <si>
    <t>Deposit 26</t>
  </si>
  <si>
    <t>Deposit 27</t>
  </si>
  <si>
    <t>Deposit 28</t>
  </si>
  <si>
    <t>Deposit 29</t>
  </si>
  <si>
    <t>Deposit 30</t>
  </si>
  <si>
    <t>Value of unknowns at t=4</t>
  </si>
  <si>
    <t>The inputs below are for a monthly payment amortizing loan with a maximum term of 30 years:</t>
  </si>
  <si>
    <t xml:space="preserve">for the first three years, but then will pay an equal amount each year for 6 years, and then </t>
  </si>
  <si>
    <t>Amount needed on 1/1/2059</t>
  </si>
  <si>
    <t>Deposit 31</t>
  </si>
  <si>
    <t>Deposit 32</t>
  </si>
  <si>
    <t>Deposit 33</t>
  </si>
  <si>
    <t>your retirement account to pay out $200,000 per year for 25 years starting on January 1, 2060.</t>
  </si>
  <si>
    <t>Percent Change in Sales from 2019</t>
  </si>
  <si>
    <t>After the 25th year's payout, you want to have $800,000 left in the account for contingencies.</t>
  </si>
  <si>
    <t>You plan to make annual deposits into your retirement account on January 1 of every year from 2022</t>
  </si>
  <si>
    <t>Deposit 34</t>
  </si>
  <si>
    <t xml:space="preserve">to 2055 (34 deposits). You will make the first deposit on January 1, 2022, with a $20,000 check. </t>
  </si>
  <si>
    <t>The remaining 33 deposits will all be equal to each other, but the amount is not yet known.</t>
  </si>
  <si>
    <t>PV of above on 01/01/2022</t>
  </si>
  <si>
    <t>Amount of each of the 33 regular payments that</t>
  </si>
  <si>
    <t>SS</t>
  </si>
  <si>
    <t xml:space="preserve">if the discount rate is 5% per year compounded annually. The three missing cash flows, </t>
  </si>
  <si>
    <t>hard-code the numbers in the formulas but formulas must be used. [ 5 Points ]</t>
  </si>
  <si>
    <t>PV at t=2 of CF3-4</t>
  </si>
  <si>
    <t>PV at t=0 of CF3-4</t>
  </si>
  <si>
    <t>PV at t=7 of CF8-10</t>
  </si>
  <si>
    <t>PV at t=0 of CF8-10</t>
  </si>
  <si>
    <t>The total present value of all 11 cash flows, including the three missing ones (X's), is $3,500</t>
  </si>
  <si>
    <t xml:space="preserve">the NET INCOME from the table at the right for the year </t>
  </si>
  <si>
    <t>10 previous years of sales provided and uses it to estimate 2021 sales. [2 Points]</t>
  </si>
  <si>
    <t xml:space="preserve">Problem 5 for the years 2011 to 2020, and that includes a linear trendline that </t>
  </si>
  <si>
    <r>
      <t xml:space="preserve">projects estimated sales through </t>
    </r>
    <r>
      <rPr>
        <b/>
        <sz val="11"/>
        <color theme="1"/>
        <rFont val="Calibri"/>
        <family val="2"/>
        <scheme val="minor"/>
      </rPr>
      <t>2023</t>
    </r>
    <r>
      <rPr>
        <sz val="11"/>
        <color theme="1"/>
        <rFont val="Calibri"/>
        <family val="2"/>
        <scheme val="minor"/>
      </rPr>
      <t>.  The x-axis should list the individual years</t>
    </r>
  </si>
  <si>
    <r>
      <t>and begin with 2011 and end with</t>
    </r>
    <r>
      <rPr>
        <b/>
        <sz val="11"/>
        <color theme="1"/>
        <rFont val="Calibri"/>
        <family val="2"/>
        <scheme val="minor"/>
      </rPr>
      <t xml:space="preserve"> 2023</t>
    </r>
    <r>
      <rPr>
        <sz val="11"/>
        <color theme="1"/>
        <rFont val="Calibri"/>
        <family val="2"/>
        <scheme val="minor"/>
      </rPr>
      <t xml:space="preserve">. The y-axis should be sales in dollars. </t>
    </r>
  </si>
  <si>
    <t>Tax Rate for 2021</t>
  </si>
  <si>
    <t>Common Stock Dividend for 2021</t>
  </si>
  <si>
    <t>Expected addition to Plant and Equipment in 2021</t>
  </si>
  <si>
    <t>Additional depreciation on new Plant/Equip in 2021</t>
  </si>
  <si>
    <t>Excess/(Deficit) Financing for 2021</t>
  </si>
  <si>
    <t>Objective Section - 20 Points Possible</t>
  </si>
  <si>
    <t>-2 Points for each incorrect or omitted answer.</t>
  </si>
  <si>
    <t>The expected rate of return on an investment is the rate that makes the present value of the expected cash inflows equal the present value of the expected cash outflows. (True or false?)</t>
  </si>
  <si>
    <t>A series of identical cash flows that are expected to occur at equal time periods for a particular number of years is a perpetuity.  (True or false?)</t>
  </si>
  <si>
    <t>The future value of a current deposit increases as the expected rate of inflation increases, other things equal.  (True or False?)</t>
  </si>
  <si>
    <t>According to financial theory, investors who take more risk will make higher returns than those who take less risk. (True or false?)</t>
  </si>
  <si>
    <t>The beta (β) coefficient is a measure of a stock's diversifiable risk when it is held in a large portfolio of stocks. (True or false?)</t>
  </si>
  <si>
    <t>B</t>
  </si>
  <si>
    <t>For all positive discount rates,</t>
  </si>
  <si>
    <t>A.</t>
  </si>
  <si>
    <t>the discount rate decreases as the real rate of interest increases.</t>
  </si>
  <si>
    <t>B.</t>
  </si>
  <si>
    <t>as the discount rate increases, the future value of an investment increases.</t>
  </si>
  <si>
    <t>C.</t>
  </si>
  <si>
    <t>as the discount rate increases, the present value of an investment increases.</t>
  </si>
  <si>
    <t>D.</t>
  </si>
  <si>
    <t>A and B are both correct.</t>
  </si>
  <si>
    <t>E.</t>
  </si>
  <si>
    <t>A and C are both correct.</t>
  </si>
  <si>
    <t>7.</t>
  </si>
  <si>
    <t>In a world with no risk and no inflation, rational investors would require the "real" rate of interest to lend their money to someone else for a period of time.  (True or False?)</t>
  </si>
  <si>
    <t>C</t>
  </si>
  <si>
    <t>8.</t>
  </si>
  <si>
    <t>When projecting pro-forma income statements and balance sheets using the percent of sales method, which of the following are typically not assumed to maintain the same percentage relationship to sales over time?</t>
  </si>
  <si>
    <t>Accounts receivable</t>
  </si>
  <si>
    <t>Account payable</t>
  </si>
  <si>
    <t>Long-Term Debt</t>
  </si>
  <si>
    <t>All of the above would typically maintain the same percentage relationship to sales.</t>
  </si>
  <si>
    <t>9.</t>
  </si>
  <si>
    <t xml:space="preserve">The effective annual interest rate on a loan will equal the "nominal" or "stated" </t>
  </si>
  <si>
    <t>rate on the loan only if the interest on the loan is compounded annually. (True or false?)</t>
  </si>
  <si>
    <t>10.</t>
  </si>
  <si>
    <t>The height or y-intercept of the security market line (SML) will increase when</t>
  </si>
  <si>
    <t>Investor risk aversion increases</t>
  </si>
  <si>
    <t>The real rate of interest increases</t>
  </si>
  <si>
    <t>Expected inflation decreases</t>
  </si>
  <si>
    <t>The risk premium on the market portfolio decreases</t>
  </si>
  <si>
    <t>More than one of the above</t>
  </si>
  <si>
    <t>A</t>
  </si>
  <si>
    <t>11.</t>
  </si>
  <si>
    <t>The slope of the SML will increase when</t>
  </si>
  <si>
    <t>The real rate of interest decreases</t>
  </si>
  <si>
    <t>Expected inflation increases</t>
  </si>
  <si>
    <t>More than one of the above is correct</t>
  </si>
  <si>
    <t>12.</t>
  </si>
  <si>
    <t>Any stock that is less sensitive than average to changes in general economic conditions will have a beta coefficient less than one.  (True or false?)</t>
  </si>
  <si>
    <t>13.</t>
  </si>
  <si>
    <t>For any positive interest rate, increasing the compounding frequency will decrease the future value of an investment.  (True or false?)</t>
  </si>
  <si>
    <t>14.</t>
  </si>
  <si>
    <t>A borrower would always prefer a longer compounding period for interest than a shorter compounding period, other things equal.  (True or false?)</t>
  </si>
  <si>
    <t>15.</t>
  </si>
  <si>
    <t>The required rate of interest increases as the risk of an investment increases, other things equal.  (True or false?)</t>
  </si>
  <si>
    <t>DO NOT CHANGE ANYTHING BELOW THIS LINE</t>
  </si>
  <si>
    <t>Select the single best response from the dropdown list for each question.</t>
  </si>
  <si>
    <t>Put your student number here:</t>
  </si>
  <si>
    <t>Put your "Last name, First name" here:</t>
  </si>
  <si>
    <r>
      <t>COMPUTER YOU ARE USING</t>
    </r>
    <r>
      <rPr>
        <b/>
        <u/>
        <sz val="14"/>
        <color rgb="FFFF0000"/>
        <rFont val="Calibri"/>
        <family val="2"/>
        <scheme val="minor"/>
      </rPr>
      <t xml:space="preserve"> </t>
    </r>
    <r>
      <rPr>
        <b/>
        <i/>
        <sz val="14"/>
        <color rgb="FF002060"/>
        <rFont val="Calibri"/>
        <family val="2"/>
        <scheme val="minor"/>
      </rPr>
      <t>BEFORE YOU BEGIN WORKING ON IT.</t>
    </r>
  </si>
  <si>
    <t>RESAVE IT OFTEN WHILE YOU ARE WORKING ON IT. DO NOT</t>
  </si>
  <si>
    <t>SAVE IT TO ANY ONLINE/CLOUD STORAGE LOCATION SUCH AS</t>
  </si>
  <si>
    <t>ONEDRIVE.</t>
  </si>
  <si>
    <t>LEAVE BLACKBOARD OPEN WHILE YOU WORK ON THE EXAM FILE.</t>
  </si>
  <si>
    <t>NOTHING SHOULD BE USED OR ACCESSED BY YOU DURING THIS</t>
  </si>
  <si>
    <t>TEST EXCEPT THE COMPUTER YOU ARE USING AND THIS FILE.</t>
  </si>
  <si>
    <t xml:space="preserve">THE PENALTY FOR ACADEMIC DISHONESTY IN THIS COURSE IS AN </t>
  </si>
  <si>
    <t xml:space="preserve">"F" GRADE FOR THE COURSE AND POSSIBLE EXPULSION FROM THE </t>
  </si>
  <si>
    <t>UNIVERSITY OF MISSISSIPPI.</t>
  </si>
  <si>
    <t>There are 8 tabbed pages in this exam spreadsheet including this one.</t>
  </si>
  <si>
    <t>Follow the instructions on each tabbed page.</t>
  </si>
  <si>
    <t>The last tabbed page, named MC-TF, contains objective questions that</t>
  </si>
  <si>
    <t>count 20 points toward the total of 100 points for this exam. Follow the instructions</t>
  </si>
  <si>
    <t>on that page.</t>
  </si>
  <si>
    <t>-</t>
  </si>
  <si>
    <r>
      <t xml:space="preserve">Save your work and </t>
    </r>
    <r>
      <rPr>
        <b/>
        <u/>
        <sz val="22"/>
        <color rgb="FFFF0000"/>
        <rFont val="Calibri"/>
        <family val="2"/>
        <scheme val="minor"/>
      </rPr>
      <t>close Excel</t>
    </r>
    <r>
      <rPr>
        <b/>
        <sz val="14"/>
        <color rgb="FFFF0000"/>
        <rFont val="Calibri"/>
        <family val="2"/>
        <scheme val="minor"/>
      </rPr>
      <t>.</t>
    </r>
  </si>
  <si>
    <t>Make an entry for Question 1 in the Blackboard exam to finish and close out Proctorio</t>
  </si>
  <si>
    <t>Go back to the open Blackboard exam where Question 1 should still be showing.</t>
  </si>
  <si>
    <t>Type anything in the answer field for Question 1.</t>
  </si>
  <si>
    <t>Submit the exam as completed.</t>
  </si>
  <si>
    <t>Upload the completed file to the TWO dropboxes for Exam 1 in Blackboard</t>
  </si>
  <si>
    <t>Open the  item named DROPBOX 1 FOR EXAM 2 in the main</t>
  </si>
  <si>
    <t xml:space="preserve">   CONTENT folder in Blackboard.</t>
  </si>
  <si>
    <t>Follow the instructions for uploading your completed exam file.</t>
  </si>
  <si>
    <t>Click on SUBMIT. You should get a confirmation that the file was successfully uploaded.</t>
  </si>
  <si>
    <t>Open the  item named DROPBOX 2 FOR EXAM 2 in the main</t>
  </si>
  <si>
    <t>Retain your completed exam file. It will not be returned to you with your scoring 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</si>
</sst>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s>
  <fonts count="2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i/>
      <sz val="11"/>
      <color theme="1"/>
      <name val="Calibri"/>
      <family val="2"/>
      <scheme val="minor"/>
    </font>
    <font>
      <b/>
      <sz val="11"/>
      <color theme="1" tint="4.9989318521683403E-2"/>
      <name val="Calibri"/>
      <family val="2"/>
      <scheme val="minor"/>
    </font>
    <font>
      <u/>
      <sz val="11"/>
      <color theme="1"/>
      <name val="Calibri"/>
      <family val="2"/>
      <scheme val="minor"/>
    </font>
    <font>
      <b/>
      <u/>
      <sz val="11"/>
      <color theme="1"/>
      <name val="Calibri"/>
      <family val="2"/>
      <scheme val="minor"/>
    </font>
    <font>
      <b/>
      <u/>
      <sz val="14"/>
      <color rgb="FFFF0000"/>
      <name val="Calibri"/>
      <family val="2"/>
      <scheme val="minor"/>
    </font>
    <font>
      <b/>
      <sz val="14"/>
      <color theme="1"/>
      <name val="Calibri"/>
      <family val="2"/>
      <scheme val="minor"/>
    </font>
    <font>
      <b/>
      <i/>
      <sz val="14"/>
      <color rgb="FF002060"/>
      <name val="Calibri"/>
      <family val="2"/>
      <scheme val="minor"/>
    </font>
    <font>
      <b/>
      <u/>
      <sz val="22"/>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2">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7" xfId="0" applyBorder="1"/>
    <xf numFmtId="0" fontId="3" fillId="3" borderId="2" xfId="0" applyFont="1" applyFill="1" applyBorder="1" applyAlignment="1">
      <alignment horizontal="center" wrapText="1"/>
    </xf>
    <xf numFmtId="0" fontId="3" fillId="3" borderId="9"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3" fillId="0" borderId="0" xfId="0" applyFont="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6" borderId="12" xfId="0" quotePrefix="1" applyNumberFormat="1" applyFont="1" applyFill="1" applyBorder="1" applyAlignment="1">
      <alignment horizontal="center"/>
    </xf>
    <xf numFmtId="165" fontId="0" fillId="0" borderId="0" xfId="3" applyNumberFormat="1" applyFont="1"/>
    <xf numFmtId="41" fontId="0" fillId="0" borderId="7" xfId="0" applyNumberFormat="1" applyBorder="1"/>
    <xf numFmtId="41" fontId="8" fillId="6" borderId="12" xfId="0" applyNumberFormat="1" applyFont="1" applyFill="1" applyBorder="1"/>
    <xf numFmtId="41" fontId="9" fillId="0" borderId="0" xfId="0" applyNumberFormat="1" applyFont="1"/>
    <xf numFmtId="41" fontId="8" fillId="0" borderId="0" xfId="0" applyNumberFormat="1" applyFont="1"/>
    <xf numFmtId="41" fontId="8" fillId="0" borderId="7" xfId="0" applyNumberFormat="1" applyFont="1" applyBorder="1"/>
    <xf numFmtId="41" fontId="3" fillId="0" borderId="7" xfId="0" applyNumberFormat="1" applyFont="1" applyBorder="1"/>
    <xf numFmtId="44" fontId="9" fillId="0" borderId="0" xfId="0" applyNumberFormat="1" applyFont="1" applyAlignment="1">
      <alignment horizontal="left" indent="1"/>
    </xf>
    <xf numFmtId="44" fontId="8" fillId="0" borderId="0" xfId="0" applyNumberFormat="1" applyFont="1"/>
    <xf numFmtId="44" fontId="8" fillId="0" borderId="7" xfId="0" applyNumberFormat="1" applyFont="1" applyBorder="1"/>
    <xf numFmtId="44" fontId="10" fillId="0" borderId="0" xfId="0" applyNumberFormat="1" applyFont="1" applyAlignment="1">
      <alignment horizontal="left" indent="1"/>
    </xf>
    <xf numFmtId="41" fontId="3" fillId="0" borderId="0" xfId="0" applyNumberFormat="1" applyFont="1" applyAlignment="1">
      <alignment horizontal="left" indent="5"/>
    </xf>
    <xf numFmtId="41" fontId="3" fillId="0" borderId="7" xfId="0" applyNumberFormat="1" applyFont="1" applyBorder="1" applyAlignment="1">
      <alignment horizontal="left" indent="5"/>
    </xf>
    <xf numFmtId="6" fontId="12" fillId="0" borderId="7" xfId="0" applyNumberFormat="1" applyFont="1" applyBorder="1"/>
    <xf numFmtId="0" fontId="0" fillId="0" borderId="7" xfId="0" applyBorder="1" applyAlignment="1">
      <alignment horizontal="left" indent="3"/>
    </xf>
    <xf numFmtId="0" fontId="0" fillId="0" borderId="0" xfId="0" quotePrefix="1"/>
    <xf numFmtId="0" fontId="2" fillId="0" borderId="0" xfId="0" applyFont="1"/>
    <xf numFmtId="164" fontId="0" fillId="0" borderId="0" xfId="0" applyNumberFormat="1"/>
    <xf numFmtId="164" fontId="2" fillId="0" borderId="0" xfId="0" applyNumberFormat="1" applyFont="1"/>
    <xf numFmtId="9" fontId="0" fillId="0" borderId="0" xfId="0" applyNumberFormat="1"/>
    <xf numFmtId="0" fontId="2" fillId="0" borderId="0" xfId="0" applyFont="1" applyAlignment="1">
      <alignment horizontal="center"/>
    </xf>
    <xf numFmtId="8" fontId="0" fillId="0" borderId="0" xfId="2" applyNumberFormat="1" applyFont="1"/>
    <xf numFmtId="10" fontId="0" fillId="0" borderId="0" xfId="3" applyNumberFormat="1" applyFont="1"/>
    <xf numFmtId="8" fontId="0" fillId="2" borderId="1" xfId="0" applyNumberFormat="1" applyFill="1" applyBorder="1"/>
    <xf numFmtId="10" fontId="0" fillId="0" borderId="0" xfId="0" applyNumberFormat="1"/>
    <xf numFmtId="165" fontId="0" fillId="2" borderId="1" xfId="3" applyNumberFormat="1" applyFont="1" applyFill="1" applyBorder="1"/>
    <xf numFmtId="10" fontId="2" fillId="0" borderId="0" xfId="3" applyNumberFormat="1" applyFont="1"/>
    <xf numFmtId="41" fontId="5" fillId="2" borderId="0" xfId="0" applyNumberFormat="1" applyFont="1" applyFill="1"/>
    <xf numFmtId="10" fontId="0" fillId="7" borderId="1" xfId="0" applyNumberFormat="1" applyFill="1" applyBorder="1"/>
    <xf numFmtId="41" fontId="0" fillId="2" borderId="0" xfId="0" applyNumberFormat="1" applyFill="1"/>
    <xf numFmtId="0" fontId="0" fillId="0" borderId="8" xfId="0" applyBorder="1" applyAlignment="1">
      <alignment horizontal="center"/>
    </xf>
    <xf numFmtId="0" fontId="0" fillId="0" borderId="4" xfId="0" applyBorder="1" applyAlignment="1">
      <alignment horizontal="center"/>
    </xf>
    <xf numFmtId="0" fontId="0" fillId="0" borderId="0" xfId="0" applyAlignment="1">
      <alignment horizontal="left" indent="2"/>
    </xf>
    <xf numFmtId="10" fontId="2" fillId="0" borderId="1" xfId="0" applyNumberFormat="1" applyFont="1" applyBorder="1"/>
    <xf numFmtId="165" fontId="0" fillId="2" borderId="15" xfId="3" applyNumberFormat="1" applyFont="1" applyFill="1" applyBorder="1"/>
    <xf numFmtId="0" fontId="3" fillId="0" borderId="13" xfId="0" applyFont="1" applyBorder="1" applyAlignment="1">
      <alignment horizontal="center" wrapText="1"/>
    </xf>
    <xf numFmtId="0" fontId="0" fillId="0" borderId="7" xfId="0" applyBorder="1" applyAlignment="1">
      <alignment horizontal="center"/>
    </xf>
    <xf numFmtId="0" fontId="13" fillId="0" borderId="0" xfId="0" applyFont="1"/>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xf numFmtId="0" fontId="3" fillId="4" borderId="8" xfId="0" applyFont="1" applyFill="1" applyBorder="1" applyAlignment="1">
      <alignment horizontal="center"/>
    </xf>
    <xf numFmtId="164" fontId="0" fillId="5" borderId="6" xfId="2" applyNumberFormat="1" applyFont="1" applyFill="1" applyBorder="1"/>
    <xf numFmtId="41" fontId="5" fillId="0" borderId="0" xfId="0" applyNumberFormat="1" applyFont="1"/>
    <xf numFmtId="164" fontId="0" fillId="4" borderId="5" xfId="2" applyNumberFormat="1" applyFont="1" applyFill="1" applyBorder="1"/>
    <xf numFmtId="0" fontId="11" fillId="0" borderId="0" xfId="0" applyFont="1"/>
    <xf numFmtId="14" fontId="0" fillId="0" borderId="0" xfId="0" applyNumberFormat="1"/>
    <xf numFmtId="0" fontId="0" fillId="0" borderId="0" xfId="0" applyAlignment="1">
      <alignment horizontal="left" indent="1"/>
    </xf>
    <xf numFmtId="43" fontId="0" fillId="2" borderId="1" xfId="1" applyFont="1" applyFill="1" applyBorder="1"/>
    <xf numFmtId="164" fontId="1" fillId="0" borderId="5" xfId="2" applyNumberFormat="1" applyBorder="1" applyAlignment="1">
      <alignment horizontal="center"/>
    </xf>
    <xf numFmtId="6" fontId="12" fillId="0" borderId="0" xfId="0" applyNumberFormat="1" applyFont="1"/>
    <xf numFmtId="166" fontId="12" fillId="0" borderId="0" xfId="0" applyNumberFormat="1" applyFont="1"/>
    <xf numFmtId="165" fontId="12" fillId="0" borderId="0" xfId="0" applyNumberFormat="1" applyFont="1"/>
    <xf numFmtId="0" fontId="3" fillId="4" borderId="14" xfId="0" applyFont="1" applyFill="1" applyBorder="1" applyAlignment="1">
      <alignment horizontal="center"/>
    </xf>
    <xf numFmtId="164" fontId="0" fillId="4" borderId="16" xfId="2" applyNumberFormat="1" applyFont="1" applyFill="1" applyBorder="1"/>
    <xf numFmtId="0" fontId="8" fillId="6" borderId="13" xfId="0" quotePrefix="1" applyFont="1" applyFill="1" applyBorder="1" applyAlignment="1">
      <alignment horizontal="center" vertical="center"/>
    </xf>
    <xf numFmtId="164" fontId="12" fillId="0" borderId="17" xfId="2" applyNumberFormat="1" applyFont="1" applyBorder="1"/>
    <xf numFmtId="0" fontId="12" fillId="0" borderId="17" xfId="0" applyFont="1" applyBorder="1"/>
    <xf numFmtId="10" fontId="12" fillId="0" borderId="17" xfId="0" applyNumberFormat="1" applyFont="1" applyBorder="1"/>
    <xf numFmtId="164" fontId="12" fillId="0" borderId="0" xfId="2" applyNumberFormat="1" applyFont="1"/>
    <xf numFmtId="0" fontId="12" fillId="7" borderId="17" xfId="0" applyFont="1" applyFill="1" applyBorder="1"/>
    <xf numFmtId="0" fontId="3" fillId="0" borderId="0" xfId="0" applyFont="1" applyAlignment="1">
      <alignment horizontal="left"/>
    </xf>
    <xf numFmtId="0" fontId="3" fillId="0" borderId="0" xfId="0" applyFont="1" applyAlignment="1">
      <alignment horizontal="left" indent="2"/>
    </xf>
    <xf numFmtId="164" fontId="2" fillId="0" borderId="5" xfId="2" applyNumberFormat="1"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0" fillId="0" borderId="20" xfId="0" applyBorder="1" applyAlignment="1">
      <alignment horizontal="center"/>
    </xf>
    <xf numFmtId="164" fontId="1" fillId="0" borderId="21" xfId="2" applyNumberFormat="1" applyBorder="1" applyAlignment="1">
      <alignment horizontal="center"/>
    </xf>
    <xf numFmtId="164" fontId="2" fillId="0" borderId="6" xfId="2" applyNumberFormat="1" applyFont="1" applyBorder="1" applyAlignment="1">
      <alignment horizontal="center"/>
    </xf>
    <xf numFmtId="8" fontId="15" fillId="0" borderId="0" xfId="0" applyNumberFormat="1" applyFont="1"/>
    <xf numFmtId="0" fontId="16" fillId="0" borderId="0" xfId="0" applyFont="1" applyAlignment="1">
      <alignment horizontal="center"/>
    </xf>
    <xf numFmtId="164" fontId="0" fillId="0" borderId="0" xfId="2" applyNumberFormat="1" applyFont="1"/>
    <xf numFmtId="164" fontId="0" fillId="0" borderId="0" xfId="2" applyNumberFormat="1" applyFont="1" applyAlignment="1">
      <alignment horizontal="center"/>
    </xf>
    <xf numFmtId="0" fontId="0" fillId="0" borderId="0" xfId="0" quotePrefix="1" applyAlignment="1">
      <alignment horizontal="center"/>
    </xf>
    <xf numFmtId="41" fontId="8" fillId="6" borderId="13" xfId="0" quotePrefix="1" applyNumberFormat="1" applyFont="1" applyFill="1" applyBorder="1" applyAlignment="1">
      <alignment horizontal="center" vertical="center"/>
    </xf>
    <xf numFmtId="41" fontId="8" fillId="6" borderId="13" xfId="0" applyNumberFormat="1" applyFont="1" applyFill="1" applyBorder="1"/>
    <xf numFmtId="0" fontId="0" fillId="2" borderId="1" xfId="0" applyFill="1" applyBorder="1"/>
    <xf numFmtId="164" fontId="0" fillId="0" borderId="0" xfId="2" applyNumberFormat="1" applyFont="1" applyAlignment="1">
      <alignment horizontal="right" indent="1"/>
    </xf>
    <xf numFmtId="0" fontId="18" fillId="0" borderId="0" xfId="0" applyFont="1" applyAlignment="1">
      <alignment horizontal="center" vertical="center"/>
    </xf>
    <xf numFmtId="0" fontId="3" fillId="0" borderId="0" xfId="0" quotePrefix="1" applyFont="1" applyAlignment="1">
      <alignment horizontal="center"/>
    </xf>
    <xf numFmtId="0" fontId="3" fillId="2" borderId="1" xfId="0" applyFont="1" applyFill="1" applyBorder="1" applyAlignment="1">
      <alignment horizontal="center"/>
    </xf>
    <xf numFmtId="0" fontId="0" fillId="0" borderId="0" xfId="0" quotePrefix="1" applyAlignment="1">
      <alignment horizontal="right" vertical="center"/>
    </xf>
    <xf numFmtId="0" fontId="0" fillId="0" borderId="0" xfId="0" applyAlignment="1">
      <alignment vertical="top" wrapText="1"/>
    </xf>
    <xf numFmtId="0" fontId="0" fillId="0" borderId="0" xfId="0" applyAlignment="1">
      <alignment horizontal="left" vertical="top" wrapText="1"/>
    </xf>
    <xf numFmtId="0" fontId="1" fillId="0" borderId="0" xfId="0" applyFont="1"/>
    <xf numFmtId="0" fontId="16" fillId="0" borderId="0" xfId="0" applyFont="1"/>
    <xf numFmtId="0" fontId="0" fillId="2" borderId="10" xfId="0" applyFill="1" applyBorder="1" applyAlignment="1">
      <alignment horizontal="center"/>
    </xf>
    <xf numFmtId="0" fontId="0" fillId="2" borderId="11" xfId="0" applyFill="1" applyBorder="1" applyAlignment="1">
      <alignment horizontal="center"/>
    </xf>
    <xf numFmtId="0" fontId="3" fillId="2" borderId="13" xfId="0" applyFont="1" applyFill="1" applyBorder="1" applyAlignment="1">
      <alignment horizontal="center"/>
    </xf>
    <xf numFmtId="0" fontId="3" fillId="2" borderId="13" xfId="0" applyFont="1" applyFill="1" applyBorder="1" applyAlignment="1">
      <alignment horizontal="center" vertical="center"/>
    </xf>
    <xf numFmtId="8" fontId="0" fillId="2" borderId="10" xfId="2" applyNumberFormat="1" applyFont="1" applyFill="1" applyBorder="1"/>
    <xf numFmtId="44" fontId="0" fillId="2" borderId="11" xfId="2" applyFont="1" applyFill="1" applyBorder="1"/>
    <xf numFmtId="41" fontId="8" fillId="6" borderId="13" xfId="0" applyNumberFormat="1" applyFont="1" applyFill="1" applyBorder="1" applyAlignment="1">
      <alignment horizontal="center" vertical="center"/>
    </xf>
    <xf numFmtId="41" fontId="8" fillId="6" borderId="13" xfId="0" quotePrefix="1" applyNumberFormat="1" applyFont="1" applyFill="1" applyBorder="1" applyAlignment="1">
      <alignment horizontal="center" vertical="center"/>
    </xf>
    <xf numFmtId="41" fontId="7" fillId="0" borderId="7" xfId="0" applyNumberFormat="1" applyFont="1" applyBorder="1" applyAlignment="1">
      <alignment horizontal="center"/>
    </xf>
    <xf numFmtId="0" fontId="0" fillId="0" borderId="0" xfId="0" applyAlignment="1">
      <alignment horizontal="left" vertical="top" wrapText="1"/>
    </xf>
    <xf numFmtId="0" fontId="3" fillId="8" borderId="10" xfId="0" applyFont="1" applyFill="1" applyBorder="1" applyAlignment="1">
      <alignment horizontal="center" vertical="center"/>
    </xf>
    <xf numFmtId="0" fontId="3" fillId="8" borderId="13" xfId="0" applyFont="1" applyFill="1" applyBorder="1" applyAlignment="1">
      <alignment horizontal="center" vertical="center"/>
    </xf>
    <xf numFmtId="0" fontId="3" fillId="8" borderId="11" xfId="0" applyFont="1" applyFill="1" applyBorder="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Actual</a:t>
            </a:r>
            <a:r>
              <a:rPr lang="en-US" b="1" baseline="0"/>
              <a:t> and Projected Sales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63591426071741"/>
          <c:y val="0.17634259259259263"/>
          <c:w val="0.77775196850393702"/>
          <c:h val="0.72088764946048411"/>
        </c:manualLayout>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22225" cap="rnd">
                <a:solidFill>
                  <a:schemeClr val="tx1"/>
                </a:solidFill>
                <a:prstDash val="sysDot"/>
              </a:ln>
              <a:effectLst/>
            </c:spPr>
            <c:trendlineType val="linear"/>
            <c:forward val="3"/>
            <c:dispRSqr val="0"/>
            <c:dispEq val="0"/>
          </c:trendline>
          <c:trendline>
            <c:spPr>
              <a:ln w="19050" cap="rnd">
                <a:solidFill>
                  <a:schemeClr val="accent1"/>
                </a:solidFill>
                <a:prstDash val="sysDot"/>
              </a:ln>
              <a:effectLst/>
            </c:spPr>
            <c:trendlineType val="linear"/>
            <c:dispRSqr val="0"/>
            <c:dispEq val="0"/>
          </c:trendline>
          <c:xVal>
            <c:numRef>
              <c:f>'P5 - 20 Pts'!$C$97:$C$106</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xVal>
          <c:yVal>
            <c:numRef>
              <c:f>'P5 - 20 Pts'!$D$97:$D$106</c:f>
              <c:numCache>
                <c:formatCode>_("$"* #,##0_);_("$"* \(#,##0\);_("$"* "-"??_);_(@_)</c:formatCode>
                <c:ptCount val="10"/>
                <c:pt idx="0">
                  <c:v>2618912</c:v>
                </c:pt>
                <c:pt idx="1">
                  <c:v>2845692</c:v>
                </c:pt>
                <c:pt idx="2">
                  <c:v>3021256</c:v>
                </c:pt>
                <c:pt idx="3">
                  <c:v>2956123</c:v>
                </c:pt>
                <c:pt idx="4">
                  <c:v>3181235</c:v>
                </c:pt>
                <c:pt idx="5">
                  <c:v>3216548</c:v>
                </c:pt>
                <c:pt idx="6">
                  <c:v>3521654</c:v>
                </c:pt>
                <c:pt idx="7">
                  <c:v>3642925</c:v>
                </c:pt>
                <c:pt idx="8">
                  <c:v>3381955</c:v>
                </c:pt>
                <c:pt idx="9">
                  <c:v>3485000</c:v>
                </c:pt>
              </c:numCache>
            </c:numRef>
          </c:yVal>
          <c:smooth val="0"/>
          <c:extLst>
            <c:ext xmlns:c16="http://schemas.microsoft.com/office/drawing/2014/chart" uri="{C3380CC4-5D6E-409C-BE32-E72D297353CC}">
              <c16:uniqueId val="{00000000-5C6B-4B15-9FCD-7AFDB1C21E9B}"/>
            </c:ext>
          </c:extLst>
        </c:ser>
        <c:dLbls>
          <c:showLegendKey val="0"/>
          <c:showVal val="0"/>
          <c:showCatName val="0"/>
          <c:showSerName val="0"/>
          <c:showPercent val="0"/>
          <c:showBubbleSize val="0"/>
        </c:dLbls>
        <c:axId val="1286322704"/>
        <c:axId val="1286325424"/>
      </c:scatterChart>
      <c:valAx>
        <c:axId val="1286322704"/>
        <c:scaling>
          <c:orientation val="minMax"/>
          <c:max val="2023"/>
          <c:min val="201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86325424"/>
        <c:crosses val="autoZero"/>
        <c:crossBetween val="midCat"/>
        <c:majorUnit val="1"/>
      </c:valAx>
      <c:valAx>
        <c:axId val="12863254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86322704"/>
        <c:crosses val="autoZero"/>
        <c:crossBetween val="midCat"/>
      </c:valAx>
      <c:spPr>
        <a:noFill/>
        <a:ln>
          <a:noFill/>
        </a:ln>
        <a:effectLst/>
      </c:spPr>
    </c:plotArea>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16</xdr:row>
      <xdr:rowOff>182217</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04306" y="104912"/>
          <a:ext cx="7454347" cy="29927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Use the space</a:t>
          </a:r>
          <a:r>
            <a:rPr lang="en-US" sz="1100" baseline="0"/>
            <a:t> beginning in Row 30 to create an amoritzation table model that will work for ANY ALLOWABLE values of the inputs. User-changeable inputs are in red. Create restrictions on the input cells that prevent users from entering values that are not allowed.</a:t>
          </a:r>
        </a:p>
        <a:p>
          <a:endParaRPr lang="en-US" sz="1100" baseline="0"/>
        </a:p>
        <a:p>
          <a:r>
            <a:rPr lang="en-US" sz="1100" baseline="0"/>
            <a:t>The amount of the loan must be a positive number.</a:t>
          </a:r>
        </a:p>
        <a:p>
          <a:r>
            <a:rPr lang="en-US" sz="1100" baseline="0"/>
            <a:t>The balloon payment must be a positive number or zero and must be less than the amount of the loan. </a:t>
          </a:r>
        </a:p>
        <a:p>
          <a:r>
            <a:rPr lang="en-US" sz="1100" baseline="0"/>
            <a:t>The term of the loan can be 1, 2, 3, 4, or 5 years.</a:t>
          </a:r>
        </a:p>
        <a:p>
          <a:r>
            <a:rPr lang="en-US" sz="1100" baseline="0"/>
            <a:t>The interest rate can be between 2% and 8%.</a:t>
          </a:r>
        </a:p>
        <a:p>
          <a:r>
            <a:rPr lang="en-US" sz="1100" baseline="0"/>
            <a:t>The payment frequency can be annual, quarterly, or monthly. Use a drop-down list in Cell F25 with "Annual", "Quarterly" and "Monthly" as the choices. Use the results from that cell to set the payment frequency for computation in the table.</a:t>
          </a:r>
        </a:p>
        <a:p>
          <a:endParaRPr lang="en-US" sz="1100" baseline="0"/>
        </a:p>
        <a:p>
          <a:r>
            <a:rPr lang="en-US" sz="1100" baseline="0"/>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sz="1100" baseline="0"/>
        </a:p>
        <a:p>
          <a:r>
            <a:rPr lang="en-US" sz="1100" baseline="0"/>
            <a:t>In cell H22, create a formula that computes the total dollar amount of interest that will be paid over the life of the loan. given the inputs.</a:t>
          </a:r>
        </a:p>
        <a:p>
          <a:endParaRPr lang="en-US" sz="1100" baseline="0"/>
        </a:p>
        <a:p>
          <a:r>
            <a:rPr lang="en-US" sz="1100" baseline="0"/>
            <a:t>In cell H25, create a formula that computes the effective annual interest rate for the loan given the inputs.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same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81280</xdr:colOff>
      <xdr:row>30</xdr:row>
      <xdr:rowOff>58420</xdr:rowOff>
    </xdr:from>
    <xdr:to>
      <xdr:col>9</xdr:col>
      <xdr:colOff>87630</xdr:colOff>
      <xdr:row>36</xdr:row>
      <xdr:rowOff>77470</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1605280" y="5369560"/>
          <a:ext cx="4174490" cy="111633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t>The proof</a:t>
          </a:r>
          <a:r>
            <a:rPr lang="en-US" sz="2400" b="1" baseline="0"/>
            <a:t> that this solution is correct is to the right.</a:t>
          </a:r>
        </a:p>
        <a:p>
          <a:pPr algn="l"/>
          <a:endParaRPr lang="en-US" sz="2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19050</xdr:colOff>
      <xdr:row>9</xdr:row>
      <xdr:rowOff>124558</xdr:rowOff>
    </xdr:to>
    <xdr:sp macro="" textlink="">
      <xdr:nvSpPr>
        <xdr:cNvPr id="2" name="Line Callout 1 1">
          <a:extLst>
            <a:ext uri="{FF2B5EF4-FFF2-40B4-BE49-F238E27FC236}">
              <a16:creationId xmlns:a16="http://schemas.microsoft.com/office/drawing/2014/main" id="{00000000-0008-0000-0400-000002000000}"/>
            </a:ext>
          </a:extLst>
        </xdr:cNvPr>
        <xdr:cNvSpPr/>
      </xdr:nvSpPr>
      <xdr:spPr>
        <a:xfrm>
          <a:off x="4483345" y="542192"/>
          <a:ext cx="2917580" cy="1296866"/>
        </a:xfrm>
        <a:prstGeom prst="borderCallout1">
          <a:avLst>
            <a:gd name="adj1" fmla="val 18750"/>
            <a:gd name="adj2" fmla="val -8333"/>
            <a:gd name="adj3" fmla="val 75979"/>
            <a:gd name="adj4" fmla="val -3061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r>
            <a:rPr lang="en-US" sz="1100" b="1">
              <a:solidFill>
                <a:schemeClr val="lt1"/>
              </a:solidFill>
              <a:effectLst/>
              <a:latin typeface="+mn-lt"/>
              <a:ea typeface="+mn-ea"/>
              <a:cs typeface="+mn-cs"/>
            </a:rPr>
            <a:t>Enter the number of the payment for which you want to compute the</a:t>
          </a:r>
          <a:r>
            <a:rPr lang="en-US" sz="1100" b="1" baseline="0">
              <a:solidFill>
                <a:schemeClr val="lt1"/>
              </a:solidFill>
              <a:effectLst/>
              <a:latin typeface="+mn-lt"/>
              <a:ea typeface="+mn-ea"/>
              <a:cs typeface="+mn-cs"/>
            </a:rPr>
            <a:t> required outputs. For example, the 14th montly payment would be entered as 14. You can enter any number between 1 and 360. Your model must work for any allowable inputs.</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a:extLst>
            <a:ext uri="{FF2B5EF4-FFF2-40B4-BE49-F238E27FC236}">
              <a16:creationId xmlns:a16="http://schemas.microsoft.com/office/drawing/2014/main" id="{00000000-0008-0000-0500-000002000000}"/>
            </a:ext>
          </a:extLst>
        </xdr:cNvPr>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twoCellAnchor>
    <xdr:from>
      <xdr:col>2</xdr:col>
      <xdr:colOff>223158</xdr:colOff>
      <xdr:row>115</xdr:row>
      <xdr:rowOff>38101</xdr:rowOff>
    </xdr:from>
    <xdr:to>
      <xdr:col>8</xdr:col>
      <xdr:colOff>91109</xdr:colOff>
      <xdr:row>129</xdr:row>
      <xdr:rowOff>114301</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228599</xdr:colOff>
      <xdr:row>0</xdr:row>
      <xdr:rowOff>180974</xdr:rowOff>
    </xdr:from>
    <xdr:to>
      <xdr:col>7</xdr:col>
      <xdr:colOff>0</xdr:colOff>
      <xdr:row>20</xdr:row>
      <xdr:rowOff>57978</xdr:rowOff>
    </xdr:to>
    <xdr:sp macro="" textlink="">
      <xdr:nvSpPr>
        <xdr:cNvPr id="2" name="TextBox 1">
          <a:extLst>
            <a:ext uri="{FF2B5EF4-FFF2-40B4-BE49-F238E27FC236}">
              <a16:creationId xmlns:a16="http://schemas.microsoft.com/office/drawing/2014/main" id="{5147A1F8-447B-4715-852F-BFD89B17CDD3}"/>
            </a:ext>
          </a:extLst>
        </xdr:cNvPr>
        <xdr:cNvSpPr txBox="1"/>
      </xdr:nvSpPr>
      <xdr:spPr>
        <a:xfrm>
          <a:off x="228599" y="180974"/>
          <a:ext cx="6800851" cy="3687004"/>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2021 pro forma income statement and balance sheet for the firm whose 2019 and 2020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2021 is expected to change with sales by 108% of (that</a:t>
          </a:r>
          <a:r>
            <a:rPr lang="en-US" sz="1100" b="1" baseline="0">
              <a:solidFill>
                <a:schemeClr val="dk1"/>
              </a:solidFill>
              <a:effectLst/>
              <a:latin typeface="+mn-lt"/>
              <a:ea typeface="+mn-ea"/>
              <a:cs typeface="+mn-cs"/>
            </a:rPr>
            <a:t> is, it will be 8% more than) </a:t>
          </a:r>
          <a:r>
            <a:rPr lang="en-US" sz="1100" b="1">
              <a:solidFill>
                <a:schemeClr val="dk1"/>
              </a:solidFill>
              <a:effectLst/>
              <a:latin typeface="+mn-lt"/>
              <a:ea typeface="+mn-ea"/>
              <a:cs typeface="+mn-cs"/>
            </a:rPr>
            <a:t>the two-year arithmetic average of the proportion of this item in relation to sales</a:t>
          </a:r>
          <a:r>
            <a:rPr lang="en-US" sz="1100" b="1" baseline="0">
              <a:solidFill>
                <a:schemeClr val="dk1"/>
              </a:solidFill>
              <a:effectLst/>
              <a:latin typeface="+mn-lt"/>
              <a:ea typeface="+mn-ea"/>
              <a:cs typeface="+mn-cs"/>
            </a:rPr>
            <a:t> for 2019 and 2020.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2019 and 2020</a:t>
          </a:r>
          <a:r>
            <a:rPr lang="en-US" sz="1100" b="1">
              <a:solidFill>
                <a:schemeClr val="dk1"/>
              </a:solidFill>
              <a:effectLst/>
              <a:latin typeface="+mn-lt"/>
              <a:ea typeface="+mn-ea"/>
              <a:cs typeface="+mn-cs"/>
            </a:rPr>
            <a:t>.  The firm has planned an investment of $250,000 in new equipment </a:t>
          </a:r>
          <a:r>
            <a:rPr lang="en-US" sz="1100" b="1" baseline="0">
              <a:solidFill>
                <a:schemeClr val="dk1"/>
              </a:solidFill>
              <a:effectLst/>
              <a:latin typeface="+mn-lt"/>
              <a:ea typeface="+mn-ea"/>
              <a:cs typeface="+mn-cs"/>
            </a:rPr>
            <a:t>in 2021.  This equipment will be depreciated at $50,000 per year. Depreciation on existing Plant/Equipment will be the same as it was in 2020.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2021 is computed on the 2020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2021 using the information above, the inputs below, and the values that are given in the statements. The 2021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2021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1"/>
  <sheetViews>
    <sheetView showGridLines="0" tabSelected="1" zoomScale="130" zoomScaleNormal="130" workbookViewId="0">
      <selection activeCell="I17" sqref="I17"/>
    </sheetView>
  </sheetViews>
  <sheetFormatPr defaultRowHeight="14.4" x14ac:dyDescent="0.3"/>
  <cols>
    <col min="1" max="1" width="3.109375" customWidth="1"/>
    <col min="2" max="2" width="4.5546875" customWidth="1"/>
    <col min="4" max="4" width="24.5546875" customWidth="1"/>
    <col min="6" max="6" width="17.88671875" customWidth="1"/>
  </cols>
  <sheetData>
    <row r="1" spans="2:6" ht="15" thickBot="1" x14ac:dyDescent="0.35"/>
    <row r="2" spans="2:6" ht="15" thickBot="1" x14ac:dyDescent="0.35">
      <c r="B2" s="15" t="s">
        <v>308</v>
      </c>
      <c r="C2" s="15"/>
      <c r="D2" s="15"/>
      <c r="E2" s="15"/>
      <c r="F2" s="99"/>
    </row>
    <row r="3" spans="2:6" ht="15" thickBot="1" x14ac:dyDescent="0.35">
      <c r="B3" s="15"/>
      <c r="C3" s="15"/>
      <c r="D3" s="15"/>
      <c r="E3" s="15"/>
    </row>
    <row r="4" spans="2:6" ht="15" thickBot="1" x14ac:dyDescent="0.35">
      <c r="B4" s="15" t="s">
        <v>309</v>
      </c>
      <c r="E4" s="109"/>
      <c r="F4" s="110"/>
    </row>
    <row r="6" spans="2:6" ht="18" x14ac:dyDescent="0.35">
      <c r="B6" s="68" t="s">
        <v>53</v>
      </c>
    </row>
    <row r="7" spans="2:6" ht="18" x14ac:dyDescent="0.35">
      <c r="B7" s="68" t="s">
        <v>310</v>
      </c>
    </row>
    <row r="8" spans="2:6" ht="18" x14ac:dyDescent="0.35">
      <c r="B8" s="68" t="s">
        <v>311</v>
      </c>
    </row>
    <row r="9" spans="2:6" ht="18.75" customHeight="1" x14ac:dyDescent="0.35">
      <c r="B9" s="68" t="s">
        <v>312</v>
      </c>
    </row>
    <row r="10" spans="2:6" ht="18.75" customHeight="1" x14ac:dyDescent="0.35">
      <c r="B10" s="68" t="s">
        <v>313</v>
      </c>
    </row>
    <row r="11" spans="2:6" ht="12" customHeight="1" x14ac:dyDescent="0.35">
      <c r="B11" s="68"/>
    </row>
    <row r="12" spans="2:6" ht="18" x14ac:dyDescent="0.35">
      <c r="B12" s="68" t="s">
        <v>314</v>
      </c>
    </row>
    <row r="13" spans="2:6" ht="11.1" customHeight="1" x14ac:dyDescent="0.35">
      <c r="B13" s="68"/>
    </row>
    <row r="14" spans="2:6" ht="18" x14ac:dyDescent="0.35">
      <c r="B14" s="68" t="s">
        <v>315</v>
      </c>
    </row>
    <row r="15" spans="2:6" ht="18" x14ac:dyDescent="0.35">
      <c r="B15" s="68" t="s">
        <v>316</v>
      </c>
    </row>
    <row r="16" spans="2:6" ht="11.1" customHeight="1" x14ac:dyDescent="0.35">
      <c r="B16" s="68"/>
    </row>
    <row r="17" spans="2:8" ht="18" x14ac:dyDescent="0.35">
      <c r="B17" s="68" t="s">
        <v>317</v>
      </c>
    </row>
    <row r="18" spans="2:8" ht="18" x14ac:dyDescent="0.35">
      <c r="B18" s="68" t="s">
        <v>318</v>
      </c>
    </row>
    <row r="19" spans="2:8" ht="18" x14ac:dyDescent="0.35">
      <c r="B19" s="68" t="s">
        <v>319</v>
      </c>
    </row>
    <row r="20" spans="2:8" ht="14.1" customHeight="1" x14ac:dyDescent="0.35">
      <c r="B20" s="68"/>
    </row>
    <row r="21" spans="2:8" x14ac:dyDescent="0.3">
      <c r="B21" t="s">
        <v>320</v>
      </c>
    </row>
    <row r="22" spans="2:8" ht="8.4" customHeight="1" x14ac:dyDescent="0.35">
      <c r="B22" s="68"/>
    </row>
    <row r="23" spans="2:8" x14ac:dyDescent="0.3">
      <c r="B23" t="s">
        <v>54</v>
      </c>
    </row>
    <row r="24" spans="2:8" ht="6" customHeight="1" x14ac:dyDescent="0.3"/>
    <row r="25" spans="2:8" x14ac:dyDescent="0.3">
      <c r="B25" t="s">
        <v>321</v>
      </c>
    </row>
    <row r="27" spans="2:8" x14ac:dyDescent="0.3">
      <c r="B27" t="s">
        <v>322</v>
      </c>
    </row>
    <row r="28" spans="2:8" x14ac:dyDescent="0.3">
      <c r="B28" t="s">
        <v>323</v>
      </c>
    </row>
    <row r="29" spans="2:8" x14ac:dyDescent="0.3">
      <c r="B29" t="s">
        <v>324</v>
      </c>
    </row>
    <row r="30" spans="2:8" ht="15" thickBot="1" x14ac:dyDescent="0.35">
      <c r="B30" s="8"/>
      <c r="C30" s="8"/>
      <c r="D30" s="8"/>
      <c r="E30" s="8"/>
      <c r="F30" s="8"/>
      <c r="G30" s="8"/>
      <c r="H30" s="8"/>
    </row>
    <row r="31" spans="2:8" ht="29.25" customHeight="1" x14ac:dyDescent="0.35">
      <c r="B31" s="68" t="s">
        <v>71</v>
      </c>
    </row>
    <row r="32" spans="2:8" ht="8.25" customHeight="1" x14ac:dyDescent="0.3"/>
    <row r="33" spans="2:3" s="107" customFormat="1" ht="23.25" customHeight="1" x14ac:dyDescent="0.55000000000000004">
      <c r="B33" t="s">
        <v>325</v>
      </c>
      <c r="C33" s="68" t="s">
        <v>326</v>
      </c>
    </row>
    <row r="34" spans="2:3" s="107" customFormat="1" ht="9" customHeight="1" x14ac:dyDescent="0.3">
      <c r="B34"/>
      <c r="C34"/>
    </row>
    <row r="35" spans="2:3" s="107" customFormat="1" ht="18.75" customHeight="1" x14ac:dyDescent="0.3">
      <c r="B35"/>
      <c r="C35" s="108" t="s">
        <v>327</v>
      </c>
    </row>
    <row r="36" spans="2:3" ht="18.75" customHeight="1" x14ac:dyDescent="0.3">
      <c r="B36" t="s">
        <v>325</v>
      </c>
      <c r="C36" t="s">
        <v>328</v>
      </c>
    </row>
    <row r="37" spans="2:3" ht="18.75" customHeight="1" x14ac:dyDescent="0.3">
      <c r="B37" t="s">
        <v>325</v>
      </c>
      <c r="C37" t="s">
        <v>329</v>
      </c>
    </row>
    <row r="38" spans="2:3" ht="18.75" customHeight="1" x14ac:dyDescent="0.3">
      <c r="B38" t="s">
        <v>325</v>
      </c>
      <c r="C38" t="s">
        <v>330</v>
      </c>
    </row>
    <row r="39" spans="2:3" s="107" customFormat="1" ht="9" customHeight="1" x14ac:dyDescent="0.3">
      <c r="B39"/>
      <c r="C39"/>
    </row>
    <row r="40" spans="2:3" s="107" customFormat="1" ht="9" customHeight="1" x14ac:dyDescent="0.3">
      <c r="B40"/>
      <c r="C40"/>
    </row>
    <row r="41" spans="2:3" s="107" customFormat="1" x14ac:dyDescent="0.3">
      <c r="B41"/>
      <c r="C41" s="108" t="s">
        <v>331</v>
      </c>
    </row>
    <row r="42" spans="2:3" s="107" customFormat="1" x14ac:dyDescent="0.3">
      <c r="B42" t="s">
        <v>325</v>
      </c>
      <c r="C42" t="s">
        <v>332</v>
      </c>
    </row>
    <row r="43" spans="2:3" s="107" customFormat="1" x14ac:dyDescent="0.3">
      <c r="B43"/>
      <c r="C43" t="s">
        <v>333</v>
      </c>
    </row>
    <row r="44" spans="2:3" s="107" customFormat="1" x14ac:dyDescent="0.3">
      <c r="B44" t="s">
        <v>325</v>
      </c>
      <c r="C44" t="s">
        <v>334</v>
      </c>
    </row>
    <row r="45" spans="2:3" s="107" customFormat="1" x14ac:dyDescent="0.3">
      <c r="B45" t="s">
        <v>325</v>
      </c>
      <c r="C45" t="s">
        <v>335</v>
      </c>
    </row>
    <row r="46" spans="2:3" s="107" customFormat="1" x14ac:dyDescent="0.3">
      <c r="B46" t="s">
        <v>325</v>
      </c>
      <c r="C46" t="s">
        <v>336</v>
      </c>
    </row>
    <row r="47" spans="2:3" s="107" customFormat="1" x14ac:dyDescent="0.3">
      <c r="B47"/>
      <c r="C47" t="s">
        <v>333</v>
      </c>
    </row>
    <row r="48" spans="2:3" s="107" customFormat="1" x14ac:dyDescent="0.3">
      <c r="B48" t="s">
        <v>325</v>
      </c>
      <c r="C48" t="s">
        <v>334</v>
      </c>
    </row>
    <row r="49" spans="2:3" s="107" customFormat="1" x14ac:dyDescent="0.3">
      <c r="B49" t="s">
        <v>325</v>
      </c>
      <c r="C49" t="s">
        <v>335</v>
      </c>
    </row>
    <row r="51" spans="2:3" s="107" customFormat="1" x14ac:dyDescent="0.3">
      <c r="B51"/>
      <c r="C51" s="108" t="s">
        <v>337</v>
      </c>
    </row>
  </sheetData>
  <mergeCells count="1">
    <mergeCell ref="E4:F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W90"/>
  <sheetViews>
    <sheetView zoomScale="115" zoomScaleNormal="115" workbookViewId="0">
      <selection activeCell="F19" sqref="F19"/>
    </sheetView>
  </sheetViews>
  <sheetFormatPr defaultRowHeight="14.4" x14ac:dyDescent="0.3"/>
  <cols>
    <col min="1" max="2" width="2.6640625" customWidth="1"/>
    <col min="3" max="6" width="14.6640625" customWidth="1"/>
    <col min="7" max="7" width="16.33203125" customWidth="1"/>
    <col min="8" max="8" width="13.33203125" customWidth="1"/>
    <col min="9" max="9" width="8.6640625" customWidth="1"/>
  </cols>
  <sheetData>
    <row r="5" spans="23:23" ht="75" customHeight="1" x14ac:dyDescent="0.3"/>
    <row r="12" spans="23:23" x14ac:dyDescent="0.3">
      <c r="W12">
        <v>1</v>
      </c>
    </row>
    <row r="18" spans="3:16" x14ac:dyDescent="0.3">
      <c r="C18" s="6"/>
    </row>
    <row r="19" spans="3:16" x14ac:dyDescent="0.3">
      <c r="C19" s="6"/>
    </row>
    <row r="20" spans="3:16" x14ac:dyDescent="0.3">
      <c r="C20" s="15" t="s">
        <v>59</v>
      </c>
    </row>
    <row r="21" spans="3:16" ht="15" thickBot="1" x14ac:dyDescent="0.35">
      <c r="C21" s="6" t="s">
        <v>8</v>
      </c>
      <c r="F21" s="2">
        <v>475000</v>
      </c>
      <c r="G21" t="s">
        <v>83</v>
      </c>
      <c r="N21" t="s">
        <v>74</v>
      </c>
      <c r="O21">
        <f>IF(F25="Annual",1,IF(F25="Quarterly",4,12))</f>
        <v>12</v>
      </c>
      <c r="P21">
        <v>1</v>
      </c>
    </row>
    <row r="22" spans="3:16" ht="15" thickBot="1" x14ac:dyDescent="0.35">
      <c r="C22" s="6" t="s">
        <v>77</v>
      </c>
      <c r="F22" s="43">
        <v>4</v>
      </c>
      <c r="G22" t="s">
        <v>86</v>
      </c>
      <c r="H22" s="5">
        <f>D31*Term*Periods+F24-F21</f>
        <v>35297.826163638325</v>
      </c>
      <c r="N22" t="s">
        <v>75</v>
      </c>
      <c r="P22">
        <v>2</v>
      </c>
    </row>
    <row r="23" spans="3:16" x14ac:dyDescent="0.3">
      <c r="C23" s="6" t="s">
        <v>9</v>
      </c>
      <c r="F23" s="3">
        <v>3.2500000000000001E-2</v>
      </c>
      <c r="N23" t="s">
        <v>76</v>
      </c>
      <c r="P23">
        <v>3</v>
      </c>
    </row>
    <row r="24" spans="3:16" ht="15" thickBot="1" x14ac:dyDescent="0.35">
      <c r="C24" s="6" t="s">
        <v>10</v>
      </c>
      <c r="F24" s="2">
        <v>50000</v>
      </c>
      <c r="G24" t="s">
        <v>84</v>
      </c>
      <c r="P24">
        <v>4</v>
      </c>
    </row>
    <row r="25" spans="3:16" ht="15" thickBot="1" x14ac:dyDescent="0.35">
      <c r="C25" s="6" t="s">
        <v>58</v>
      </c>
      <c r="F25" t="s">
        <v>76</v>
      </c>
      <c r="G25" t="s">
        <v>85</v>
      </c>
      <c r="H25" s="48">
        <f>EFFECT(Rate,Periods)</f>
        <v>3.2988511810589927E-2</v>
      </c>
      <c r="P25">
        <v>5</v>
      </c>
    </row>
    <row r="26" spans="3:16" ht="4.2" customHeight="1" thickBot="1" x14ac:dyDescent="0.35">
      <c r="C26" s="37"/>
      <c r="D26" s="8"/>
      <c r="E26" s="8"/>
      <c r="F26" s="8"/>
      <c r="G26" s="8"/>
      <c r="H26" s="8"/>
      <c r="I26" s="8"/>
      <c r="J26" s="8"/>
      <c r="K26" s="8"/>
      <c r="L26" s="8"/>
      <c r="M26" s="8"/>
    </row>
    <row r="27" spans="3:16" ht="6" customHeight="1" x14ac:dyDescent="0.3"/>
    <row r="28" spans="3:16" ht="6" customHeight="1" thickBot="1" x14ac:dyDescent="0.35"/>
    <row r="29" spans="3:16" ht="29.4" thickBot="1" x14ac:dyDescent="0.35">
      <c r="C29" s="9" t="s">
        <v>11</v>
      </c>
      <c r="D29" s="10" t="s">
        <v>4</v>
      </c>
      <c r="E29" s="10" t="s">
        <v>12</v>
      </c>
      <c r="F29" s="10" t="s">
        <v>13</v>
      </c>
      <c r="G29" s="11" t="s">
        <v>14</v>
      </c>
    </row>
    <row r="30" spans="3:16" x14ac:dyDescent="0.3">
      <c r="C30" s="12">
        <v>0</v>
      </c>
      <c r="D30" s="13"/>
      <c r="E30" s="13"/>
      <c r="F30" s="13"/>
      <c r="G30" s="44">
        <f>F21</f>
        <v>475000</v>
      </c>
    </row>
    <row r="31" spans="3:16" x14ac:dyDescent="0.3">
      <c r="C31" s="12">
        <v>1</v>
      </c>
      <c r="D31" s="14">
        <f>PMT(Rate/Periods,Term*Periods,-F21,F24)</f>
        <v>9589.5380450757984</v>
      </c>
      <c r="E31" s="13">
        <f t="shared" ref="E31:E62" si="0">IF(C31&gt;Term*Periods,"",G30*Rate/Periods)</f>
        <v>1286.4583333333333</v>
      </c>
      <c r="F31" s="14">
        <f t="shared" ref="F31:F62" si="1">IF(C31&gt;Term*Periods,"",D31-E31)</f>
        <v>8303.0797117424645</v>
      </c>
      <c r="G31" s="13">
        <f t="shared" ref="G31:G62" si="2">IF(C31&gt;Term*Periods,"",G30-F31)</f>
        <v>466696.92028825753</v>
      </c>
      <c r="K31" t="s">
        <v>15</v>
      </c>
    </row>
    <row r="32" spans="3:16" x14ac:dyDescent="0.3">
      <c r="C32" s="12">
        <v>2</v>
      </c>
      <c r="D32" s="14">
        <f t="shared" ref="D32:D63" si="3">IF(C32&gt;Term*Periods,"",IF(C32=Term*Periods,$D$31+$F$24,$D$31))</f>
        <v>9589.5380450757984</v>
      </c>
      <c r="E32" s="13">
        <f t="shared" si="0"/>
        <v>1263.9708257806976</v>
      </c>
      <c r="F32" s="14">
        <f t="shared" si="1"/>
        <v>8325.5672192951006</v>
      </c>
      <c r="G32" s="13">
        <f t="shared" si="2"/>
        <v>458371.35306896246</v>
      </c>
    </row>
    <row r="33" spans="3:7" x14ac:dyDescent="0.3">
      <c r="C33" s="12">
        <v>3</v>
      </c>
      <c r="D33" s="14">
        <f t="shared" si="3"/>
        <v>9589.5380450757984</v>
      </c>
      <c r="E33" s="13">
        <f t="shared" si="0"/>
        <v>1241.4224145617734</v>
      </c>
      <c r="F33" s="14">
        <f t="shared" si="1"/>
        <v>8348.1156305140248</v>
      </c>
      <c r="G33" s="13">
        <f t="shared" si="2"/>
        <v>450023.23743844841</v>
      </c>
    </row>
    <row r="34" spans="3:7" x14ac:dyDescent="0.3">
      <c r="C34" s="12">
        <v>4</v>
      </c>
      <c r="D34" s="14">
        <f t="shared" si="3"/>
        <v>9589.5380450757984</v>
      </c>
      <c r="E34" s="13">
        <f t="shared" si="0"/>
        <v>1218.8129347291313</v>
      </c>
      <c r="F34" s="14">
        <f t="shared" si="1"/>
        <v>8370.7251103466679</v>
      </c>
      <c r="G34" s="13">
        <f t="shared" si="2"/>
        <v>441652.51232810173</v>
      </c>
    </row>
    <row r="35" spans="3:7" x14ac:dyDescent="0.3">
      <c r="C35" s="12">
        <v>5</v>
      </c>
      <c r="D35" s="14">
        <f t="shared" si="3"/>
        <v>9589.5380450757984</v>
      </c>
      <c r="E35" s="13">
        <f t="shared" si="0"/>
        <v>1196.142220888609</v>
      </c>
      <c r="F35" s="14">
        <f t="shared" si="1"/>
        <v>8393.3958241871896</v>
      </c>
      <c r="G35" s="13">
        <f t="shared" si="2"/>
        <v>433259.11650391453</v>
      </c>
    </row>
    <row r="36" spans="3:7" x14ac:dyDescent="0.3">
      <c r="C36" s="12">
        <v>6</v>
      </c>
      <c r="D36" s="14">
        <f t="shared" si="3"/>
        <v>9589.5380450757984</v>
      </c>
      <c r="E36" s="13">
        <f t="shared" si="0"/>
        <v>1173.410107198102</v>
      </c>
      <c r="F36" s="14">
        <f t="shared" si="1"/>
        <v>8416.1279378776962</v>
      </c>
      <c r="G36" s="13">
        <f t="shared" si="2"/>
        <v>424842.9885660368</v>
      </c>
    </row>
    <row r="37" spans="3:7" x14ac:dyDescent="0.3">
      <c r="C37" s="12">
        <v>7</v>
      </c>
      <c r="D37" s="14">
        <f t="shared" si="3"/>
        <v>9589.5380450757984</v>
      </c>
      <c r="E37" s="13">
        <f t="shared" si="0"/>
        <v>1150.6164273663496</v>
      </c>
      <c r="F37" s="14">
        <f t="shared" si="1"/>
        <v>8438.9216177094495</v>
      </c>
      <c r="G37" s="13">
        <f t="shared" si="2"/>
        <v>416404.06694832735</v>
      </c>
    </row>
    <row r="38" spans="3:7" x14ac:dyDescent="0.3">
      <c r="C38" s="12">
        <v>8</v>
      </c>
      <c r="D38" s="14">
        <f t="shared" si="3"/>
        <v>9589.5380450757984</v>
      </c>
      <c r="E38" s="13">
        <f t="shared" si="0"/>
        <v>1127.76101465172</v>
      </c>
      <c r="F38" s="14">
        <f t="shared" si="1"/>
        <v>8461.7770304240785</v>
      </c>
      <c r="G38" s="13">
        <f t="shared" si="2"/>
        <v>407942.28991790325</v>
      </c>
    </row>
    <row r="39" spans="3:7" x14ac:dyDescent="0.3">
      <c r="C39" s="12">
        <v>9</v>
      </c>
      <c r="D39" s="14">
        <f t="shared" si="3"/>
        <v>9589.5380450757984</v>
      </c>
      <c r="E39" s="13">
        <f t="shared" si="0"/>
        <v>1104.8437018609879</v>
      </c>
      <c r="F39" s="14">
        <f t="shared" si="1"/>
        <v>8484.6943432148109</v>
      </c>
      <c r="G39" s="13">
        <f t="shared" si="2"/>
        <v>399457.59557468846</v>
      </c>
    </row>
    <row r="40" spans="3:7" x14ac:dyDescent="0.3">
      <c r="C40" s="12">
        <v>10</v>
      </c>
      <c r="D40" s="14">
        <f t="shared" si="3"/>
        <v>9589.5380450757984</v>
      </c>
      <c r="E40" s="13">
        <f t="shared" si="0"/>
        <v>1081.8643213481146</v>
      </c>
      <c r="F40" s="14">
        <f t="shared" si="1"/>
        <v>8507.673723727683</v>
      </c>
      <c r="G40" s="13">
        <f t="shared" si="2"/>
        <v>390949.92185096076</v>
      </c>
    </row>
    <row r="41" spans="3:7" x14ac:dyDescent="0.3">
      <c r="C41" s="12">
        <v>11</v>
      </c>
      <c r="D41" s="14">
        <f t="shared" si="3"/>
        <v>9589.5380450757984</v>
      </c>
      <c r="E41" s="13">
        <f t="shared" si="0"/>
        <v>1058.8227050130188</v>
      </c>
      <c r="F41" s="14">
        <f t="shared" si="1"/>
        <v>8530.7153400627794</v>
      </c>
      <c r="G41" s="13">
        <f t="shared" si="2"/>
        <v>382419.20651089796</v>
      </c>
    </row>
    <row r="42" spans="3:7" x14ac:dyDescent="0.3">
      <c r="C42" s="12">
        <v>12</v>
      </c>
      <c r="D42" s="14">
        <f t="shared" si="3"/>
        <v>9589.5380450757984</v>
      </c>
      <c r="E42" s="13">
        <f t="shared" si="0"/>
        <v>1035.7186843003487</v>
      </c>
      <c r="F42" s="14">
        <f t="shared" si="1"/>
        <v>8553.8193607754492</v>
      </c>
      <c r="G42" s="13">
        <f t="shared" si="2"/>
        <v>373865.38715012249</v>
      </c>
    </row>
    <row r="43" spans="3:7" x14ac:dyDescent="0.3">
      <c r="C43" s="12">
        <v>13</v>
      </c>
      <c r="D43" s="14">
        <f t="shared" si="3"/>
        <v>9589.5380450757984</v>
      </c>
      <c r="E43" s="13">
        <f t="shared" si="0"/>
        <v>1012.5520901982485</v>
      </c>
      <c r="F43" s="14">
        <f t="shared" si="1"/>
        <v>8576.9859548775494</v>
      </c>
      <c r="G43" s="13">
        <f t="shared" si="2"/>
        <v>365288.40119524492</v>
      </c>
    </row>
    <row r="44" spans="3:7" x14ac:dyDescent="0.3">
      <c r="C44" s="12">
        <v>14</v>
      </c>
      <c r="D44" s="14">
        <f t="shared" si="3"/>
        <v>9589.5380450757984</v>
      </c>
      <c r="E44" s="13">
        <f t="shared" si="0"/>
        <v>989.32275323712167</v>
      </c>
      <c r="F44" s="14">
        <f t="shared" si="1"/>
        <v>8600.2152918386764</v>
      </c>
      <c r="G44" s="13">
        <f t="shared" si="2"/>
        <v>356688.18590340624</v>
      </c>
    </row>
    <row r="45" spans="3:7" x14ac:dyDescent="0.3">
      <c r="C45" s="12">
        <v>15</v>
      </c>
      <c r="D45" s="14">
        <f t="shared" si="3"/>
        <v>9589.5380450757984</v>
      </c>
      <c r="E45" s="13">
        <f t="shared" si="0"/>
        <v>966.0305034883919</v>
      </c>
      <c r="F45" s="14">
        <f t="shared" si="1"/>
        <v>8623.5075415874071</v>
      </c>
      <c r="G45" s="13">
        <f t="shared" si="2"/>
        <v>348064.67836181883</v>
      </c>
    </row>
    <row r="46" spans="3:7" x14ac:dyDescent="0.3">
      <c r="C46" s="12">
        <v>16</v>
      </c>
      <c r="D46" s="14">
        <f t="shared" si="3"/>
        <v>9589.5380450757984</v>
      </c>
      <c r="E46" s="13">
        <f t="shared" si="0"/>
        <v>942.67517056325948</v>
      </c>
      <c r="F46" s="14">
        <f t="shared" si="1"/>
        <v>8646.8628745125388</v>
      </c>
      <c r="G46" s="13">
        <f t="shared" si="2"/>
        <v>339417.81548730627</v>
      </c>
    </row>
    <row r="47" spans="3:7" x14ac:dyDescent="0.3">
      <c r="C47" s="12">
        <v>17</v>
      </c>
      <c r="D47" s="14">
        <f t="shared" si="3"/>
        <v>9589.5380450757984</v>
      </c>
      <c r="E47" s="13">
        <f t="shared" si="0"/>
        <v>919.25658361145452</v>
      </c>
      <c r="F47" s="14">
        <f t="shared" si="1"/>
        <v>8670.281461464343</v>
      </c>
      <c r="G47" s="13">
        <f t="shared" si="2"/>
        <v>330747.53402584192</v>
      </c>
    </row>
    <row r="48" spans="3:7" x14ac:dyDescent="0.3">
      <c r="C48" s="12">
        <v>18</v>
      </c>
      <c r="D48" s="14">
        <f t="shared" si="3"/>
        <v>9589.5380450757984</v>
      </c>
      <c r="E48" s="13">
        <f t="shared" si="0"/>
        <v>895.77457131998847</v>
      </c>
      <c r="F48" s="14">
        <f t="shared" si="1"/>
        <v>8693.7634737558092</v>
      </c>
      <c r="G48" s="13">
        <f t="shared" si="2"/>
        <v>322053.77055208612</v>
      </c>
    </row>
    <row r="49" spans="3:7" x14ac:dyDescent="0.3">
      <c r="C49" s="12">
        <v>19</v>
      </c>
      <c r="D49" s="14">
        <f t="shared" si="3"/>
        <v>9589.5380450757984</v>
      </c>
      <c r="E49" s="13">
        <f t="shared" si="0"/>
        <v>872.2289619119</v>
      </c>
      <c r="F49" s="14">
        <f t="shared" si="1"/>
        <v>8717.3090831638983</v>
      </c>
      <c r="G49" s="13">
        <f t="shared" si="2"/>
        <v>313336.46146892221</v>
      </c>
    </row>
    <row r="50" spans="3:7" x14ac:dyDescent="0.3">
      <c r="C50" s="12">
        <v>20</v>
      </c>
      <c r="D50" s="14">
        <f t="shared" si="3"/>
        <v>9589.5380450757984</v>
      </c>
      <c r="E50" s="13">
        <f t="shared" si="0"/>
        <v>848.6195831449977</v>
      </c>
      <c r="F50" s="14">
        <f t="shared" si="1"/>
        <v>8740.9184619307998</v>
      </c>
      <c r="G50" s="13">
        <f t="shared" si="2"/>
        <v>304595.54300699139</v>
      </c>
    </row>
    <row r="51" spans="3:7" x14ac:dyDescent="0.3">
      <c r="C51" s="12">
        <v>21</v>
      </c>
      <c r="D51" s="14">
        <f t="shared" si="3"/>
        <v>9589.5380450757984</v>
      </c>
      <c r="E51" s="13">
        <f t="shared" si="0"/>
        <v>824.94626231060181</v>
      </c>
      <c r="F51" s="14">
        <f t="shared" si="1"/>
        <v>8764.5917827651974</v>
      </c>
      <c r="G51" s="13">
        <f t="shared" si="2"/>
        <v>295830.95122422621</v>
      </c>
    </row>
    <row r="52" spans="3:7" x14ac:dyDescent="0.3">
      <c r="C52" s="12">
        <v>22</v>
      </c>
      <c r="D52" s="14">
        <f t="shared" si="3"/>
        <v>9589.5380450757984</v>
      </c>
      <c r="E52" s="13">
        <f t="shared" si="0"/>
        <v>801.20882623227942</v>
      </c>
      <c r="F52" s="14">
        <f t="shared" si="1"/>
        <v>8788.3292188435189</v>
      </c>
      <c r="G52" s="13">
        <f t="shared" si="2"/>
        <v>287042.62200538267</v>
      </c>
    </row>
    <row r="53" spans="3:7" x14ac:dyDescent="0.3">
      <c r="C53" s="12">
        <v>23</v>
      </c>
      <c r="D53" s="14">
        <f t="shared" si="3"/>
        <v>9589.5380450757984</v>
      </c>
      <c r="E53" s="13">
        <f t="shared" si="0"/>
        <v>777.40710126457816</v>
      </c>
      <c r="F53" s="14">
        <f t="shared" si="1"/>
        <v>8812.1309438112203</v>
      </c>
      <c r="G53" s="13">
        <f t="shared" si="2"/>
        <v>278230.49106157146</v>
      </c>
    </row>
    <row r="54" spans="3:7" x14ac:dyDescent="0.3">
      <c r="C54" s="12">
        <v>24</v>
      </c>
      <c r="D54" s="14">
        <f t="shared" si="3"/>
        <v>9589.5380450757984</v>
      </c>
      <c r="E54" s="13">
        <f t="shared" si="0"/>
        <v>753.54091329175606</v>
      </c>
      <c r="F54" s="14">
        <f t="shared" si="1"/>
        <v>8835.9971317840427</v>
      </c>
      <c r="G54" s="13">
        <f t="shared" si="2"/>
        <v>269394.49392978742</v>
      </c>
    </row>
    <row r="55" spans="3:7" x14ac:dyDescent="0.3">
      <c r="C55" s="12">
        <v>25</v>
      </c>
      <c r="D55" s="14">
        <f t="shared" si="3"/>
        <v>9589.5380450757984</v>
      </c>
      <c r="E55" s="13">
        <f t="shared" si="0"/>
        <v>729.61008772650757</v>
      </c>
      <c r="F55" s="14">
        <f t="shared" si="1"/>
        <v>8859.9279573492913</v>
      </c>
      <c r="G55" s="13">
        <f t="shared" si="2"/>
        <v>260534.56597243814</v>
      </c>
    </row>
    <row r="56" spans="3:7" x14ac:dyDescent="0.3">
      <c r="C56" s="12">
        <v>26</v>
      </c>
      <c r="D56" s="14">
        <f t="shared" si="3"/>
        <v>9589.5380450757984</v>
      </c>
      <c r="E56" s="13">
        <f t="shared" si="0"/>
        <v>705.61444950868656</v>
      </c>
      <c r="F56" s="14">
        <f t="shared" si="1"/>
        <v>8883.923595567112</v>
      </c>
      <c r="G56" s="13">
        <f t="shared" si="2"/>
        <v>251650.64237687102</v>
      </c>
    </row>
    <row r="57" spans="3:7" x14ac:dyDescent="0.3">
      <c r="C57" s="12">
        <v>27</v>
      </c>
      <c r="D57" s="14">
        <f t="shared" si="3"/>
        <v>9589.5380450757984</v>
      </c>
      <c r="E57" s="13">
        <f t="shared" si="0"/>
        <v>681.5538231040257</v>
      </c>
      <c r="F57" s="14">
        <f t="shared" si="1"/>
        <v>8907.9842219717721</v>
      </c>
      <c r="G57" s="13">
        <f t="shared" si="2"/>
        <v>242742.65815489925</v>
      </c>
    </row>
    <row r="58" spans="3:7" x14ac:dyDescent="0.3">
      <c r="C58" s="12">
        <v>28</v>
      </c>
      <c r="D58" s="14">
        <f t="shared" si="3"/>
        <v>9589.5380450757984</v>
      </c>
      <c r="E58" s="13">
        <f t="shared" si="0"/>
        <v>657.42803250285215</v>
      </c>
      <c r="F58" s="14">
        <f t="shared" si="1"/>
        <v>8932.1100125729463</v>
      </c>
      <c r="G58" s="13">
        <f t="shared" si="2"/>
        <v>233810.5481423263</v>
      </c>
    </row>
    <row r="59" spans="3:7" x14ac:dyDescent="0.3">
      <c r="C59" s="12">
        <v>29</v>
      </c>
      <c r="D59" s="14">
        <f t="shared" si="3"/>
        <v>9589.5380450757984</v>
      </c>
      <c r="E59" s="13">
        <f t="shared" si="0"/>
        <v>633.23690121880043</v>
      </c>
      <c r="F59" s="14">
        <f t="shared" si="1"/>
        <v>8956.3011438569974</v>
      </c>
      <c r="G59" s="13">
        <f t="shared" si="2"/>
        <v>224854.24699846929</v>
      </c>
    </row>
    <row r="60" spans="3:7" x14ac:dyDescent="0.3">
      <c r="C60" s="12">
        <v>30</v>
      </c>
      <c r="D60" s="14">
        <f t="shared" si="3"/>
        <v>9589.5380450757984</v>
      </c>
      <c r="E60" s="13">
        <f t="shared" si="0"/>
        <v>608.98025228752101</v>
      </c>
      <c r="F60" s="14">
        <f t="shared" si="1"/>
        <v>8980.5577927882769</v>
      </c>
      <c r="G60" s="13">
        <f t="shared" si="2"/>
        <v>215873.689205681</v>
      </c>
    </row>
    <row r="61" spans="3:7" x14ac:dyDescent="0.3">
      <c r="C61" s="12">
        <v>31</v>
      </c>
      <c r="D61" s="14">
        <f t="shared" si="3"/>
        <v>9589.5380450757984</v>
      </c>
      <c r="E61" s="13">
        <f t="shared" si="0"/>
        <v>584.65790826538603</v>
      </c>
      <c r="F61" s="14">
        <f t="shared" si="1"/>
        <v>9004.8801368104123</v>
      </c>
      <c r="G61" s="13">
        <f t="shared" si="2"/>
        <v>206868.80906887059</v>
      </c>
    </row>
    <row r="62" spans="3:7" x14ac:dyDescent="0.3">
      <c r="C62" s="12">
        <v>32</v>
      </c>
      <c r="D62" s="14">
        <f t="shared" si="3"/>
        <v>9589.5380450757984</v>
      </c>
      <c r="E62" s="13">
        <f t="shared" si="0"/>
        <v>560.26969122819116</v>
      </c>
      <c r="F62" s="14">
        <f t="shared" si="1"/>
        <v>9029.2683538476067</v>
      </c>
      <c r="G62" s="13">
        <f t="shared" si="2"/>
        <v>197839.54071502297</v>
      </c>
    </row>
    <row r="63" spans="3:7" x14ac:dyDescent="0.3">
      <c r="C63" s="12">
        <v>33</v>
      </c>
      <c r="D63" s="14">
        <f t="shared" si="3"/>
        <v>9589.5380450757984</v>
      </c>
      <c r="E63" s="13">
        <f t="shared" ref="E63:E90" si="4">IF(C63&gt;Term*Periods,"",G62*Rate/Periods)</f>
        <v>535.81542276985385</v>
      </c>
      <c r="F63" s="14">
        <f t="shared" ref="F63:F90" si="5">IF(C63&gt;Term*Periods,"",D63-E63)</f>
        <v>9053.7226223059442</v>
      </c>
      <c r="G63" s="13">
        <f t="shared" ref="G63:G90" si="6">IF(C63&gt;Term*Periods,"",G62-F63)</f>
        <v>188785.81809271703</v>
      </c>
    </row>
    <row r="64" spans="3:7" x14ac:dyDescent="0.3">
      <c r="C64" s="12">
        <v>34</v>
      </c>
      <c r="D64" s="14">
        <f t="shared" ref="D64:D90" si="7">IF(C64&gt;Term*Periods,"",IF(C64=Term*Periods,$D$31+$F$24,$D$31))</f>
        <v>9589.5380450757984</v>
      </c>
      <c r="E64" s="13">
        <f t="shared" si="4"/>
        <v>511.29492400110865</v>
      </c>
      <c r="F64" s="14">
        <f t="shared" si="5"/>
        <v>9078.243121074689</v>
      </c>
      <c r="G64" s="13">
        <f t="shared" si="6"/>
        <v>179707.57497164235</v>
      </c>
    </row>
    <row r="65" spans="3:7" x14ac:dyDescent="0.3">
      <c r="C65" s="12">
        <v>35</v>
      </c>
      <c r="D65" s="14">
        <f t="shared" si="7"/>
        <v>9589.5380450757984</v>
      </c>
      <c r="E65" s="13">
        <f t="shared" si="4"/>
        <v>486.70801554819803</v>
      </c>
      <c r="F65" s="14">
        <f t="shared" si="5"/>
        <v>9102.8300295276003</v>
      </c>
      <c r="G65" s="13">
        <f t="shared" si="6"/>
        <v>170604.74494211475</v>
      </c>
    </row>
    <row r="66" spans="3:7" x14ac:dyDescent="0.3">
      <c r="C66" s="12">
        <v>36</v>
      </c>
      <c r="D66" s="14">
        <f t="shared" si="7"/>
        <v>9589.5380450757984</v>
      </c>
      <c r="E66" s="13">
        <f t="shared" si="4"/>
        <v>462.05451755156082</v>
      </c>
      <c r="F66" s="14">
        <f t="shared" si="5"/>
        <v>9127.4835275242367</v>
      </c>
      <c r="G66" s="13">
        <f t="shared" si="6"/>
        <v>161477.26141459052</v>
      </c>
    </row>
    <row r="67" spans="3:7" x14ac:dyDescent="0.3">
      <c r="C67" s="12">
        <v>37</v>
      </c>
      <c r="D67" s="14">
        <f t="shared" si="7"/>
        <v>9589.5380450757984</v>
      </c>
      <c r="E67" s="13">
        <f t="shared" si="4"/>
        <v>437.33424966451599</v>
      </c>
      <c r="F67" s="14">
        <f t="shared" si="5"/>
        <v>9152.203795411282</v>
      </c>
      <c r="G67" s="13">
        <f t="shared" si="6"/>
        <v>152325.05761917925</v>
      </c>
    </row>
    <row r="68" spans="3:7" x14ac:dyDescent="0.3">
      <c r="C68" s="12">
        <v>38</v>
      </c>
      <c r="D68" s="14">
        <f t="shared" si="7"/>
        <v>9589.5380450757984</v>
      </c>
      <c r="E68" s="13">
        <f t="shared" si="4"/>
        <v>412.5470310519438</v>
      </c>
      <c r="F68" s="14">
        <f t="shared" si="5"/>
        <v>9176.9910140238553</v>
      </c>
      <c r="G68" s="13">
        <f t="shared" si="6"/>
        <v>143148.06660515539</v>
      </c>
    </row>
    <row r="69" spans="3:7" x14ac:dyDescent="0.3">
      <c r="C69" s="12">
        <v>39</v>
      </c>
      <c r="D69" s="14">
        <f t="shared" si="7"/>
        <v>9589.5380450757984</v>
      </c>
      <c r="E69" s="13">
        <f t="shared" si="4"/>
        <v>387.69268038896251</v>
      </c>
      <c r="F69" s="14">
        <f t="shared" si="5"/>
        <v>9201.8453646868365</v>
      </c>
      <c r="G69" s="13">
        <f t="shared" si="6"/>
        <v>133946.22124046856</v>
      </c>
    </row>
    <row r="70" spans="3:7" x14ac:dyDescent="0.3">
      <c r="C70" s="12">
        <v>40</v>
      </c>
      <c r="D70" s="14">
        <f t="shared" si="7"/>
        <v>9589.5380450757984</v>
      </c>
      <c r="E70" s="13">
        <f t="shared" si="4"/>
        <v>362.77101585960236</v>
      </c>
      <c r="F70" s="14">
        <f t="shared" si="5"/>
        <v>9226.7670292161965</v>
      </c>
      <c r="G70" s="13">
        <f t="shared" si="6"/>
        <v>124719.45421125236</v>
      </c>
    </row>
    <row r="71" spans="3:7" x14ac:dyDescent="0.3">
      <c r="C71" s="12">
        <v>41</v>
      </c>
      <c r="D71" s="14">
        <f t="shared" si="7"/>
        <v>9589.5380450757984</v>
      </c>
      <c r="E71" s="13">
        <f t="shared" si="4"/>
        <v>337.78185515547517</v>
      </c>
      <c r="F71" s="14">
        <f t="shared" si="5"/>
        <v>9251.7561899203229</v>
      </c>
      <c r="G71" s="13">
        <f t="shared" si="6"/>
        <v>115467.69802133203</v>
      </c>
    </row>
    <row r="72" spans="3:7" x14ac:dyDescent="0.3">
      <c r="C72" s="12">
        <v>42</v>
      </c>
      <c r="D72" s="14">
        <f t="shared" si="7"/>
        <v>9589.5380450757984</v>
      </c>
      <c r="E72" s="13">
        <f t="shared" si="4"/>
        <v>312.72501547444091</v>
      </c>
      <c r="F72" s="14">
        <f t="shared" si="5"/>
        <v>9276.8130296013569</v>
      </c>
      <c r="G72" s="13">
        <f t="shared" si="6"/>
        <v>106190.88499173068</v>
      </c>
    </row>
    <row r="73" spans="3:7" x14ac:dyDescent="0.3">
      <c r="C73" s="12">
        <v>43</v>
      </c>
      <c r="D73" s="14">
        <f t="shared" si="7"/>
        <v>9589.5380450757984</v>
      </c>
      <c r="E73" s="13">
        <f t="shared" si="4"/>
        <v>287.60031351927063</v>
      </c>
      <c r="F73" s="14">
        <f t="shared" si="5"/>
        <v>9301.9377315565271</v>
      </c>
      <c r="G73" s="13">
        <f t="shared" si="6"/>
        <v>96888.947260174158</v>
      </c>
    </row>
    <row r="74" spans="3:7" x14ac:dyDescent="0.3">
      <c r="C74" s="12">
        <v>44</v>
      </c>
      <c r="D74" s="14">
        <f t="shared" si="7"/>
        <v>9589.5380450757984</v>
      </c>
      <c r="E74" s="13">
        <f t="shared" si="4"/>
        <v>262.40756549630504</v>
      </c>
      <c r="F74" s="14">
        <f t="shared" si="5"/>
        <v>9327.1304795794931</v>
      </c>
      <c r="G74" s="13">
        <f t="shared" si="6"/>
        <v>87561.816780594672</v>
      </c>
    </row>
    <row r="75" spans="3:7" x14ac:dyDescent="0.3">
      <c r="C75" s="12">
        <v>45</v>
      </c>
      <c r="D75" s="14">
        <f t="shared" si="7"/>
        <v>9589.5380450757984</v>
      </c>
      <c r="E75" s="13">
        <f t="shared" si="4"/>
        <v>237.14658711411059</v>
      </c>
      <c r="F75" s="14">
        <f t="shared" si="5"/>
        <v>9352.3914579616885</v>
      </c>
      <c r="G75" s="13">
        <f t="shared" si="6"/>
        <v>78209.425322632989</v>
      </c>
    </row>
    <row r="76" spans="3:7" x14ac:dyDescent="0.3">
      <c r="C76" s="12">
        <v>46</v>
      </c>
      <c r="D76" s="14">
        <f t="shared" si="7"/>
        <v>9589.5380450757984</v>
      </c>
      <c r="E76" s="13">
        <f t="shared" si="4"/>
        <v>211.81719358213101</v>
      </c>
      <c r="F76" s="14">
        <f t="shared" si="5"/>
        <v>9377.7208514936683</v>
      </c>
      <c r="G76" s="13">
        <f t="shared" si="6"/>
        <v>68831.704471139325</v>
      </c>
    </row>
    <row r="77" spans="3:7" x14ac:dyDescent="0.3">
      <c r="C77" s="12">
        <v>47</v>
      </c>
      <c r="D77" s="14">
        <f t="shared" si="7"/>
        <v>9589.5380450757984</v>
      </c>
      <c r="E77" s="13">
        <f t="shared" si="4"/>
        <v>186.41919960933569</v>
      </c>
      <c r="F77" s="14">
        <f t="shared" si="5"/>
        <v>9403.1188454664625</v>
      </c>
      <c r="G77" s="13">
        <f t="shared" si="6"/>
        <v>59428.585625672858</v>
      </c>
    </row>
    <row r="78" spans="3:7" x14ac:dyDescent="0.3">
      <c r="C78" s="12">
        <v>48</v>
      </c>
      <c r="D78" s="14">
        <f t="shared" si="7"/>
        <v>59589.538045075795</v>
      </c>
      <c r="E78" s="13">
        <f t="shared" si="4"/>
        <v>160.952419402864</v>
      </c>
      <c r="F78" s="14">
        <f t="shared" si="5"/>
        <v>59428.585625672931</v>
      </c>
      <c r="G78" s="13">
        <f t="shared" si="6"/>
        <v>-7.2759576141834259E-11</v>
      </c>
    </row>
    <row r="79" spans="3:7" x14ac:dyDescent="0.3">
      <c r="C79" s="12">
        <v>49</v>
      </c>
      <c r="D79" s="14" t="str">
        <f t="shared" si="7"/>
        <v/>
      </c>
      <c r="E79" s="13" t="str">
        <f t="shared" si="4"/>
        <v/>
      </c>
      <c r="F79" s="14" t="str">
        <f t="shared" si="5"/>
        <v/>
      </c>
      <c r="G79" s="13" t="str">
        <f t="shared" si="6"/>
        <v/>
      </c>
    </row>
    <row r="80" spans="3:7" x14ac:dyDescent="0.3">
      <c r="C80" s="12">
        <v>50</v>
      </c>
      <c r="D80" s="14" t="str">
        <f t="shared" si="7"/>
        <v/>
      </c>
      <c r="E80" s="13" t="str">
        <f t="shared" si="4"/>
        <v/>
      </c>
      <c r="F80" s="14" t="str">
        <f t="shared" si="5"/>
        <v/>
      </c>
      <c r="G80" s="13" t="str">
        <f t="shared" si="6"/>
        <v/>
      </c>
    </row>
    <row r="81" spans="3:7" x14ac:dyDescent="0.3">
      <c r="C81" s="12">
        <v>51</v>
      </c>
      <c r="D81" s="14" t="str">
        <f t="shared" si="7"/>
        <v/>
      </c>
      <c r="E81" s="13" t="str">
        <f t="shared" si="4"/>
        <v/>
      </c>
      <c r="F81" s="14" t="str">
        <f t="shared" si="5"/>
        <v/>
      </c>
      <c r="G81" s="13" t="str">
        <f t="shared" si="6"/>
        <v/>
      </c>
    </row>
    <row r="82" spans="3:7" x14ac:dyDescent="0.3">
      <c r="C82" s="12">
        <v>52</v>
      </c>
      <c r="D82" s="14" t="str">
        <f t="shared" si="7"/>
        <v/>
      </c>
      <c r="E82" s="13" t="str">
        <f t="shared" si="4"/>
        <v/>
      </c>
      <c r="F82" s="14" t="str">
        <f t="shared" si="5"/>
        <v/>
      </c>
      <c r="G82" s="13" t="str">
        <f t="shared" si="6"/>
        <v/>
      </c>
    </row>
    <row r="83" spans="3:7" x14ac:dyDescent="0.3">
      <c r="C83" s="12">
        <v>53</v>
      </c>
      <c r="D83" s="14" t="str">
        <f t="shared" si="7"/>
        <v/>
      </c>
      <c r="E83" s="13" t="str">
        <f t="shared" si="4"/>
        <v/>
      </c>
      <c r="F83" s="14" t="str">
        <f t="shared" si="5"/>
        <v/>
      </c>
      <c r="G83" s="13" t="str">
        <f t="shared" si="6"/>
        <v/>
      </c>
    </row>
    <row r="84" spans="3:7" x14ac:dyDescent="0.3">
      <c r="C84" s="12">
        <v>54</v>
      </c>
      <c r="D84" s="14" t="str">
        <f t="shared" si="7"/>
        <v/>
      </c>
      <c r="E84" s="13" t="str">
        <f t="shared" si="4"/>
        <v/>
      </c>
      <c r="F84" s="14" t="str">
        <f t="shared" si="5"/>
        <v/>
      </c>
      <c r="G84" s="13" t="str">
        <f t="shared" si="6"/>
        <v/>
      </c>
    </row>
    <row r="85" spans="3:7" x14ac:dyDescent="0.3">
      <c r="C85" s="12">
        <v>55</v>
      </c>
      <c r="D85" s="14" t="str">
        <f t="shared" si="7"/>
        <v/>
      </c>
      <c r="E85" s="13" t="str">
        <f t="shared" si="4"/>
        <v/>
      </c>
      <c r="F85" s="14" t="str">
        <f t="shared" si="5"/>
        <v/>
      </c>
      <c r="G85" s="13" t="str">
        <f t="shared" si="6"/>
        <v/>
      </c>
    </row>
    <row r="86" spans="3:7" x14ac:dyDescent="0.3">
      <c r="C86" s="12">
        <v>56</v>
      </c>
      <c r="D86" s="14" t="str">
        <f t="shared" si="7"/>
        <v/>
      </c>
      <c r="E86" s="13" t="str">
        <f t="shared" si="4"/>
        <v/>
      </c>
      <c r="F86" s="14" t="str">
        <f t="shared" si="5"/>
        <v/>
      </c>
      <c r="G86" s="13" t="str">
        <f t="shared" si="6"/>
        <v/>
      </c>
    </row>
    <row r="87" spans="3:7" x14ac:dyDescent="0.3">
      <c r="C87" s="12">
        <v>57</v>
      </c>
      <c r="D87" s="14" t="str">
        <f t="shared" si="7"/>
        <v/>
      </c>
      <c r="E87" s="13" t="str">
        <f t="shared" si="4"/>
        <v/>
      </c>
      <c r="F87" s="14" t="str">
        <f t="shared" si="5"/>
        <v/>
      </c>
      <c r="G87" s="13" t="str">
        <f t="shared" si="6"/>
        <v/>
      </c>
    </row>
    <row r="88" spans="3:7" x14ac:dyDescent="0.3">
      <c r="C88" s="12">
        <v>58</v>
      </c>
      <c r="D88" s="14" t="str">
        <f t="shared" si="7"/>
        <v/>
      </c>
      <c r="E88" s="13" t="str">
        <f t="shared" si="4"/>
        <v/>
      </c>
      <c r="F88" s="14" t="str">
        <f t="shared" si="5"/>
        <v/>
      </c>
      <c r="G88" s="13" t="str">
        <f t="shared" si="6"/>
        <v/>
      </c>
    </row>
    <row r="89" spans="3:7" x14ac:dyDescent="0.3">
      <c r="C89" s="12">
        <v>59</v>
      </c>
      <c r="D89" s="14" t="str">
        <f t="shared" si="7"/>
        <v/>
      </c>
      <c r="E89" s="13" t="str">
        <f t="shared" si="4"/>
        <v/>
      </c>
      <c r="F89" s="14" t="str">
        <f t="shared" si="5"/>
        <v/>
      </c>
      <c r="G89" s="13" t="str">
        <f t="shared" si="6"/>
        <v/>
      </c>
    </row>
    <row r="90" spans="3:7" x14ac:dyDescent="0.3">
      <c r="C90" s="12">
        <v>60</v>
      </c>
      <c r="D90" s="14" t="str">
        <f t="shared" si="7"/>
        <v/>
      </c>
      <c r="E90" s="13" t="str">
        <f t="shared" si="4"/>
        <v/>
      </c>
      <c r="F90" s="14" t="str">
        <f t="shared" si="5"/>
        <v/>
      </c>
      <c r="G90" s="13" t="str">
        <f t="shared" si="6"/>
        <v/>
      </c>
    </row>
  </sheetData>
  <dataValidations count="5">
    <dataValidation type="list" allowBlank="1" showInputMessage="1" showErrorMessage="1" sqref="F25">
      <formula1>$N$21:$N$23</formula1>
    </dataValidation>
    <dataValidation type="list" allowBlank="1" showInputMessage="1" showErrorMessage="1" prompt="Select a value from the drop-down list._x000a_" sqref="F22">
      <formula1>$P$21:$P$25</formula1>
    </dataValidation>
    <dataValidation type="whole" operator="greaterThan" allowBlank="1" showInputMessage="1" showErrorMessage="1" prompt="This value must be a positive number greater than zero." sqref="F21">
      <formula1>0</formula1>
    </dataValidation>
    <dataValidation type="decimal" allowBlank="1" showInputMessage="1" showErrorMessage="1" prompt="This interest rate must be between 5% and 15%." sqref="F23">
      <formula1>0.02</formula1>
      <formula2>0.1</formula2>
    </dataValidation>
    <dataValidation type="whole" allowBlank="1" showInputMessage="1" showErrorMessage="1" prompt="This input must be between zero and the total amount of the loan." sqref="F24">
      <formula1>0</formula1>
      <formula2>F21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31"/>
  <sheetViews>
    <sheetView topLeftCell="B1" zoomScale="115" zoomScaleNormal="115" workbookViewId="0">
      <selection activeCell="C31" sqref="C31"/>
    </sheetView>
  </sheetViews>
  <sheetFormatPr defaultColWidth="8.6640625" defaultRowHeight="14.4" x14ac:dyDescent="0.3"/>
  <cols>
    <col min="1" max="1" width="8.6640625" style="40"/>
    <col min="2" max="2" width="29.33203125" style="40" customWidth="1"/>
    <col min="3" max="3" width="12.6640625" style="40" customWidth="1"/>
    <col min="4" max="4" width="2.5546875" style="40" customWidth="1"/>
    <col min="5" max="5" width="15.6640625" style="40" customWidth="1"/>
    <col min="6" max="6" width="26.5546875" style="40" customWidth="1"/>
    <col min="7" max="7" width="18.44140625" style="40" customWidth="1"/>
    <col min="8" max="16384" width="8.6640625" style="40"/>
  </cols>
  <sheetData>
    <row r="3" ht="8.4" customHeight="1" x14ac:dyDescent="0.3"/>
    <row r="18" spans="2:7" ht="15" thickBot="1" x14ac:dyDescent="0.35">
      <c r="B18" s="40" t="s">
        <v>60</v>
      </c>
      <c r="C18" s="41">
        <v>475000</v>
      </c>
      <c r="E18" s="40" t="s">
        <v>79</v>
      </c>
    </row>
    <row r="19" spans="2:7" ht="15" thickBot="1" x14ac:dyDescent="0.35">
      <c r="B19" s="40" t="s">
        <v>61</v>
      </c>
      <c r="C19" s="39">
        <v>4</v>
      </c>
      <c r="E19" s="40" t="s">
        <v>80</v>
      </c>
      <c r="G19" s="46">
        <f>PMT(C20/12,C19*12,-C18)</f>
        <v>10566.370952339619</v>
      </c>
    </row>
    <row r="20" spans="2:7" x14ac:dyDescent="0.3">
      <c r="B20" s="40" t="s">
        <v>16</v>
      </c>
      <c r="C20" s="49">
        <v>3.2500000000000001E-2</v>
      </c>
    </row>
    <row r="21" spans="2:7" x14ac:dyDescent="0.3">
      <c r="B21" s="40" t="s">
        <v>62</v>
      </c>
      <c r="C21" s="41">
        <v>2500</v>
      </c>
      <c r="E21" s="40" t="s">
        <v>78</v>
      </c>
    </row>
    <row r="22" spans="2:7" ht="15" thickBot="1" x14ac:dyDescent="0.35">
      <c r="E22" s="40" t="s">
        <v>63</v>
      </c>
    </row>
    <row r="23" spans="2:7" ht="15" thickBot="1" x14ac:dyDescent="0.35">
      <c r="E23" s="40" t="s">
        <v>81</v>
      </c>
      <c r="G23" s="71">
        <f>NPER(C20/12,G19+C21,-C18)</f>
        <v>38.321116430246946</v>
      </c>
    </row>
    <row r="25" spans="2:7" x14ac:dyDescent="0.3">
      <c r="E25" s="40" t="s">
        <v>64</v>
      </c>
    </row>
    <row r="26" spans="2:7" x14ac:dyDescent="0.3">
      <c r="E26" s="40" t="s">
        <v>65</v>
      </c>
    </row>
    <row r="27" spans="2:7" x14ac:dyDescent="0.3">
      <c r="E27" s="40" t="s">
        <v>66</v>
      </c>
    </row>
    <row r="28" spans="2:7" x14ac:dyDescent="0.3">
      <c r="E28" s="40" t="s">
        <v>67</v>
      </c>
    </row>
    <row r="29" spans="2:7" x14ac:dyDescent="0.3">
      <c r="E29" s="40" t="s">
        <v>68</v>
      </c>
    </row>
    <row r="30" spans="2:7" ht="15" thickBot="1" x14ac:dyDescent="0.35">
      <c r="E30" s="40" t="s">
        <v>69</v>
      </c>
    </row>
    <row r="31" spans="2:7" ht="15" thickBot="1" x14ac:dyDescent="0.35">
      <c r="E31" s="40" t="s">
        <v>70</v>
      </c>
      <c r="G31" s="5">
        <f>(G19*C19*12)-(G23*(G19+C21))</f>
        <v>6467.8831268985523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6"/>
  <sheetViews>
    <sheetView topLeftCell="B1" zoomScale="115" zoomScaleNormal="115" workbookViewId="0">
      <selection activeCell="G30" sqref="G30"/>
    </sheetView>
  </sheetViews>
  <sheetFormatPr defaultRowHeight="14.4" x14ac:dyDescent="0.3"/>
  <cols>
    <col min="1" max="1" width="4.44140625" customWidth="1"/>
    <col min="7" max="7" width="16.88671875" customWidth="1"/>
    <col min="8" max="8" width="16.6640625" customWidth="1"/>
    <col min="9" max="9" width="10.5546875" customWidth="1"/>
    <col min="13" max="13" width="11.6640625" customWidth="1"/>
    <col min="14" max="14" width="17" style="70" customWidth="1"/>
    <col min="15" max="15" width="14.44140625" customWidth="1"/>
    <col min="16" max="16" width="15.109375" customWidth="1"/>
  </cols>
  <sheetData>
    <row r="2" spans="2:16" x14ac:dyDescent="0.3">
      <c r="B2" t="s">
        <v>98</v>
      </c>
    </row>
    <row r="3" spans="2:16" x14ac:dyDescent="0.3">
      <c r="B3" t="s">
        <v>227</v>
      </c>
    </row>
    <row r="4" spans="2:16" x14ac:dyDescent="0.3">
      <c r="B4" t="s">
        <v>229</v>
      </c>
    </row>
    <row r="5" spans="2:16" ht="24" customHeight="1" x14ac:dyDescent="0.3">
      <c r="B5" t="s">
        <v>230</v>
      </c>
    </row>
    <row r="6" spans="2:16" x14ac:dyDescent="0.3">
      <c r="B6" t="s">
        <v>232</v>
      </c>
    </row>
    <row r="7" spans="2:16" x14ac:dyDescent="0.3">
      <c r="B7" t="s">
        <v>233</v>
      </c>
    </row>
    <row r="8" spans="2:16" x14ac:dyDescent="0.3">
      <c r="B8" t="s">
        <v>193</v>
      </c>
    </row>
    <row r="9" spans="2:16" ht="9" customHeight="1" x14ac:dyDescent="0.3"/>
    <row r="10" spans="2:16" x14ac:dyDescent="0.3">
      <c r="B10" t="s">
        <v>167</v>
      </c>
    </row>
    <row r="11" spans="2:16" x14ac:dyDescent="0.3">
      <c r="B11" t="s">
        <v>168</v>
      </c>
    </row>
    <row r="12" spans="2:16" x14ac:dyDescent="0.3">
      <c r="B12" t="s">
        <v>169</v>
      </c>
      <c r="O12" s="16"/>
      <c r="P12" s="16"/>
    </row>
    <row r="13" spans="2:16" ht="8.6999999999999993" customHeight="1" x14ac:dyDescent="0.3">
      <c r="O13" s="16"/>
      <c r="P13" s="16"/>
    </row>
    <row r="14" spans="2:16" x14ac:dyDescent="0.3">
      <c r="B14" t="s">
        <v>99</v>
      </c>
      <c r="O14" s="16"/>
      <c r="P14" s="16"/>
    </row>
    <row r="15" spans="2:16" x14ac:dyDescent="0.3">
      <c r="B15" t="s">
        <v>100</v>
      </c>
      <c r="O15" s="16"/>
      <c r="P15" s="16"/>
    </row>
    <row r="16" spans="2:16" ht="15" thickBot="1" x14ac:dyDescent="0.35">
      <c r="O16" s="16"/>
      <c r="P16" s="16"/>
    </row>
    <row r="17" spans="2:16" ht="15" thickBot="1" x14ac:dyDescent="0.35">
      <c r="C17" t="s">
        <v>101</v>
      </c>
      <c r="H17" s="51">
        <v>2.5000000000000001E-2</v>
      </c>
      <c r="O17" s="16" t="s">
        <v>161</v>
      </c>
      <c r="P17" s="16" t="s">
        <v>163</v>
      </c>
    </row>
    <row r="18" spans="2:16" ht="15" thickBot="1" x14ac:dyDescent="0.35">
      <c r="B18" s="8"/>
      <c r="C18" s="8"/>
      <c r="D18" s="8"/>
      <c r="E18" s="8"/>
      <c r="F18" s="8"/>
      <c r="G18" s="8"/>
      <c r="H18" s="8"/>
      <c r="I18" s="8"/>
      <c r="J18" s="8"/>
      <c r="K18" s="8"/>
      <c r="L18" s="16" t="s">
        <v>178</v>
      </c>
      <c r="M18" s="16" t="s">
        <v>164</v>
      </c>
      <c r="N18" s="16" t="s">
        <v>165</v>
      </c>
      <c r="O18" s="16" t="s">
        <v>162</v>
      </c>
      <c r="P18" s="16" t="s">
        <v>14</v>
      </c>
    </row>
    <row r="19" spans="2:16" ht="15" thickBot="1" x14ac:dyDescent="0.35">
      <c r="B19" s="111" t="s">
        <v>102</v>
      </c>
      <c r="C19" s="111"/>
      <c r="D19" s="111"/>
      <c r="E19" s="111"/>
      <c r="F19" s="111"/>
      <c r="G19" s="111"/>
      <c r="H19" s="111"/>
      <c r="I19" s="111"/>
      <c r="J19" s="111"/>
      <c r="K19" s="111"/>
      <c r="L19">
        <v>0</v>
      </c>
      <c r="M19" s="69">
        <v>44562</v>
      </c>
      <c r="N19" s="70" t="s">
        <v>116</v>
      </c>
      <c r="O19" s="4">
        <v>20000</v>
      </c>
      <c r="P19" s="4">
        <f>O19</f>
        <v>20000</v>
      </c>
    </row>
    <row r="20" spans="2:16" x14ac:dyDescent="0.3">
      <c r="L20">
        <v>1</v>
      </c>
      <c r="M20" s="69">
        <v>44927</v>
      </c>
      <c r="N20" s="70" t="s">
        <v>117</v>
      </c>
      <c r="O20" s="4">
        <f>H27</f>
        <v>73163.295947865045</v>
      </c>
      <c r="P20" s="4">
        <f>O20+(P19*(1+$H$17))</f>
        <v>93663.295947865045</v>
      </c>
    </row>
    <row r="21" spans="2:16" x14ac:dyDescent="0.3">
      <c r="C21" s="38" t="s">
        <v>103</v>
      </c>
      <c r="D21" t="s">
        <v>223</v>
      </c>
      <c r="H21" s="4">
        <f>-PV(H17,25,200000,800000)</f>
        <v>4116387.7559651849</v>
      </c>
      <c r="L21">
        <v>2</v>
      </c>
      <c r="M21" s="69">
        <v>45292</v>
      </c>
      <c r="N21" s="70" t="s">
        <v>118</v>
      </c>
      <c r="O21" s="4">
        <f t="shared" ref="O21:O52" si="0">O20</f>
        <v>73163.295947865045</v>
      </c>
      <c r="P21" s="4">
        <f t="shared" ref="P21:P81" si="1">O21+(P20*(1+$H$17))</f>
        <v>169168.17429442669</v>
      </c>
    </row>
    <row r="22" spans="2:16" x14ac:dyDescent="0.3">
      <c r="L22">
        <v>3</v>
      </c>
      <c r="M22" s="69">
        <v>45658</v>
      </c>
      <c r="N22" s="70" t="s">
        <v>119</v>
      </c>
      <c r="O22" s="4">
        <f t="shared" si="0"/>
        <v>73163.295947865045</v>
      </c>
      <c r="P22" s="4">
        <f t="shared" si="1"/>
        <v>246560.67459965241</v>
      </c>
    </row>
    <row r="23" spans="2:16" x14ac:dyDescent="0.3">
      <c r="C23" s="38" t="s">
        <v>104</v>
      </c>
      <c r="D23" t="s">
        <v>234</v>
      </c>
      <c r="H23" s="4">
        <f>-PV(H17,37,0,H21)</f>
        <v>1650947.4820985165</v>
      </c>
      <c r="L23">
        <v>4</v>
      </c>
      <c r="M23" s="69">
        <v>46023</v>
      </c>
      <c r="N23" s="70" t="s">
        <v>120</v>
      </c>
      <c r="O23" s="4">
        <f t="shared" si="0"/>
        <v>73163.295947865045</v>
      </c>
      <c r="P23" s="4">
        <f t="shared" si="1"/>
        <v>325887.98741250875</v>
      </c>
    </row>
    <row r="24" spans="2:16" x14ac:dyDescent="0.3">
      <c r="L24">
        <v>5</v>
      </c>
      <c r="M24" s="69">
        <v>46388</v>
      </c>
      <c r="N24" s="70" t="s">
        <v>121</v>
      </c>
      <c r="O24" s="4">
        <f t="shared" si="0"/>
        <v>73163.295947865045</v>
      </c>
      <c r="P24" s="4">
        <f t="shared" si="1"/>
        <v>407198.4830456865</v>
      </c>
    </row>
    <row r="25" spans="2:16" x14ac:dyDescent="0.3">
      <c r="C25" t="s">
        <v>105</v>
      </c>
      <c r="D25" t="s">
        <v>170</v>
      </c>
      <c r="H25" s="4">
        <f>H23-20000</f>
        <v>1630947.4820985165</v>
      </c>
      <c r="L25">
        <v>6</v>
      </c>
      <c r="M25" s="69">
        <v>46753</v>
      </c>
      <c r="N25" s="70" t="s">
        <v>122</v>
      </c>
      <c r="O25" s="4">
        <f t="shared" si="0"/>
        <v>73163.295947865045</v>
      </c>
      <c r="P25" s="4">
        <f t="shared" si="1"/>
        <v>490541.7410696937</v>
      </c>
    </row>
    <row r="26" spans="2:16" x14ac:dyDescent="0.3">
      <c r="L26">
        <v>7</v>
      </c>
      <c r="M26" s="69">
        <v>47119</v>
      </c>
      <c r="N26" s="70" t="s">
        <v>123</v>
      </c>
      <c r="O26" s="4">
        <f t="shared" si="0"/>
        <v>73163.295947865045</v>
      </c>
      <c r="P26" s="4">
        <f t="shared" si="1"/>
        <v>575968.58054430108</v>
      </c>
    </row>
    <row r="27" spans="2:16" x14ac:dyDescent="0.3">
      <c r="C27" s="38" t="s">
        <v>198</v>
      </c>
      <c r="D27" t="s">
        <v>235</v>
      </c>
      <c r="H27" s="4">
        <f>PMT(H17,33,-H25,0)</f>
        <v>73163.295947865045</v>
      </c>
      <c r="I27" s="38" t="s">
        <v>106</v>
      </c>
      <c r="L27">
        <v>8</v>
      </c>
      <c r="M27" s="69">
        <v>47484</v>
      </c>
      <c r="N27" s="70" t="s">
        <v>124</v>
      </c>
      <c r="O27" s="4">
        <f t="shared" si="0"/>
        <v>73163.295947865045</v>
      </c>
      <c r="P27" s="4">
        <f t="shared" si="1"/>
        <v>663531.09100577352</v>
      </c>
    </row>
    <row r="28" spans="2:16" x14ac:dyDescent="0.3">
      <c r="D28" t="s">
        <v>171</v>
      </c>
      <c r="L28">
        <v>9</v>
      </c>
      <c r="M28" s="69">
        <v>47849</v>
      </c>
      <c r="N28" s="70" t="s">
        <v>125</v>
      </c>
      <c r="O28" s="4">
        <f t="shared" si="0"/>
        <v>73163.295947865045</v>
      </c>
      <c r="P28" s="4">
        <f t="shared" si="1"/>
        <v>753282.66422878276</v>
      </c>
    </row>
    <row r="29" spans="2:16" x14ac:dyDescent="0.3">
      <c r="L29">
        <v>10</v>
      </c>
      <c r="M29" s="69">
        <v>48214</v>
      </c>
      <c r="N29" s="70" t="s">
        <v>126</v>
      </c>
      <c r="O29" s="4">
        <f t="shared" si="0"/>
        <v>73163.295947865045</v>
      </c>
      <c r="P29" s="4">
        <f t="shared" si="1"/>
        <v>845278.02678236726</v>
      </c>
    </row>
    <row r="30" spans="2:16" x14ac:dyDescent="0.3">
      <c r="L30">
        <v>11</v>
      </c>
      <c r="M30" s="69">
        <v>48580</v>
      </c>
      <c r="N30" s="70" t="s">
        <v>127</v>
      </c>
      <c r="O30" s="4">
        <f t="shared" si="0"/>
        <v>73163.295947865045</v>
      </c>
      <c r="P30" s="4">
        <f t="shared" si="1"/>
        <v>939573.27339979133</v>
      </c>
    </row>
    <row r="31" spans="2:16" x14ac:dyDescent="0.3">
      <c r="L31">
        <v>12</v>
      </c>
      <c r="M31" s="69">
        <v>48945</v>
      </c>
      <c r="N31" s="70" t="s">
        <v>128</v>
      </c>
      <c r="O31" s="4">
        <f t="shared" si="0"/>
        <v>73163.295947865045</v>
      </c>
      <c r="P31" s="4">
        <f t="shared" si="1"/>
        <v>1036225.9011826511</v>
      </c>
    </row>
    <row r="32" spans="2:16" x14ac:dyDescent="0.3">
      <c r="L32">
        <v>13</v>
      </c>
      <c r="M32" s="69">
        <v>49310</v>
      </c>
      <c r="N32" s="70" t="s">
        <v>129</v>
      </c>
      <c r="O32" s="4">
        <f t="shared" si="0"/>
        <v>73163.295947865045</v>
      </c>
      <c r="P32" s="4">
        <f t="shared" si="1"/>
        <v>1135294.8446600824</v>
      </c>
    </row>
    <row r="33" spans="12:16" x14ac:dyDescent="0.3">
      <c r="L33">
        <v>14</v>
      </c>
      <c r="M33" s="69">
        <v>49675</v>
      </c>
      <c r="N33" s="70" t="s">
        <v>130</v>
      </c>
      <c r="O33" s="4">
        <f t="shared" si="0"/>
        <v>73163.295947865045</v>
      </c>
      <c r="P33" s="4">
        <f t="shared" si="1"/>
        <v>1236840.5117244495</v>
      </c>
    </row>
    <row r="34" spans="12:16" x14ac:dyDescent="0.3">
      <c r="L34">
        <v>15</v>
      </c>
      <c r="M34" s="69">
        <v>50041</v>
      </c>
      <c r="N34" s="70" t="s">
        <v>131</v>
      </c>
      <c r="O34" s="4">
        <f t="shared" si="0"/>
        <v>73163.295947865045</v>
      </c>
      <c r="P34" s="4">
        <f t="shared" si="1"/>
        <v>1340924.8204654257</v>
      </c>
    </row>
    <row r="35" spans="12:16" x14ac:dyDescent="0.3">
      <c r="L35">
        <v>16</v>
      </c>
      <c r="M35" s="69">
        <v>50406</v>
      </c>
      <c r="N35" s="70" t="s">
        <v>132</v>
      </c>
      <c r="O35" s="4">
        <f t="shared" si="0"/>
        <v>73163.295947865045</v>
      </c>
      <c r="P35" s="4">
        <f t="shared" si="1"/>
        <v>1447611.2369249263</v>
      </c>
    </row>
    <row r="36" spans="12:16" x14ac:dyDescent="0.3">
      <c r="L36">
        <v>17</v>
      </c>
      <c r="M36" s="69">
        <v>50771</v>
      </c>
      <c r="N36" s="70" t="s">
        <v>133</v>
      </c>
      <c r="O36" s="4">
        <f t="shared" si="0"/>
        <v>73163.295947865045</v>
      </c>
      <c r="P36" s="4">
        <f t="shared" si="1"/>
        <v>1556964.8137959144</v>
      </c>
    </row>
    <row r="37" spans="12:16" x14ac:dyDescent="0.3">
      <c r="L37">
        <v>18</v>
      </c>
      <c r="M37" s="69">
        <v>51136</v>
      </c>
      <c r="N37" s="70" t="s">
        <v>134</v>
      </c>
      <c r="O37" s="4">
        <f t="shared" si="0"/>
        <v>73163.295947865045</v>
      </c>
      <c r="P37" s="4">
        <f t="shared" si="1"/>
        <v>1669052.2300886773</v>
      </c>
    </row>
    <row r="38" spans="12:16" x14ac:dyDescent="0.3">
      <c r="L38">
        <v>19</v>
      </c>
      <c r="M38" s="69">
        <v>51502</v>
      </c>
      <c r="N38" s="70" t="s">
        <v>135</v>
      </c>
      <c r="O38" s="4">
        <f t="shared" si="0"/>
        <v>73163.295947865045</v>
      </c>
      <c r="P38" s="4">
        <f t="shared" si="1"/>
        <v>1783941.8317887592</v>
      </c>
    </row>
    <row r="39" spans="12:16" x14ac:dyDescent="0.3">
      <c r="L39">
        <v>20</v>
      </c>
      <c r="M39" s="69">
        <v>51867</v>
      </c>
      <c r="N39" s="70" t="s">
        <v>136</v>
      </c>
      <c r="O39" s="4">
        <f t="shared" si="0"/>
        <v>73163.295947865045</v>
      </c>
      <c r="P39" s="4">
        <f t="shared" si="1"/>
        <v>1901703.6735313432</v>
      </c>
    </row>
    <row r="40" spans="12:16" x14ac:dyDescent="0.3">
      <c r="L40">
        <v>21</v>
      </c>
      <c r="M40" s="69">
        <v>52232</v>
      </c>
      <c r="N40" s="70" t="s">
        <v>137</v>
      </c>
      <c r="O40" s="4">
        <f t="shared" si="0"/>
        <v>73163.295947865045</v>
      </c>
      <c r="P40" s="4">
        <f t="shared" si="1"/>
        <v>2022409.5613174918</v>
      </c>
    </row>
    <row r="41" spans="12:16" x14ac:dyDescent="0.3">
      <c r="L41">
        <v>22</v>
      </c>
      <c r="M41" s="69">
        <v>52597</v>
      </c>
      <c r="N41" s="70" t="s">
        <v>138</v>
      </c>
      <c r="O41" s="4">
        <f t="shared" si="0"/>
        <v>73163.295947865045</v>
      </c>
      <c r="P41" s="4">
        <f t="shared" si="1"/>
        <v>2146133.0962982941</v>
      </c>
    </row>
    <row r="42" spans="12:16" x14ac:dyDescent="0.3">
      <c r="L42">
        <v>23</v>
      </c>
      <c r="M42" s="69">
        <v>52963</v>
      </c>
      <c r="N42" s="70" t="s">
        <v>139</v>
      </c>
      <c r="O42" s="4">
        <f t="shared" si="0"/>
        <v>73163.295947865045</v>
      </c>
      <c r="P42" s="4">
        <f t="shared" si="1"/>
        <v>2272949.7196536162</v>
      </c>
    </row>
    <row r="43" spans="12:16" x14ac:dyDescent="0.3">
      <c r="L43">
        <v>24</v>
      </c>
      <c r="M43" s="69">
        <v>53328</v>
      </c>
      <c r="N43" s="70" t="s">
        <v>140</v>
      </c>
      <c r="O43" s="4">
        <f t="shared" si="0"/>
        <v>73163.295947865045</v>
      </c>
      <c r="P43" s="4">
        <f t="shared" si="1"/>
        <v>2402936.7585928217</v>
      </c>
    </row>
    <row r="44" spans="12:16" x14ac:dyDescent="0.3">
      <c r="L44">
        <v>25</v>
      </c>
      <c r="M44" s="69">
        <v>53693</v>
      </c>
      <c r="N44" s="70" t="s">
        <v>215</v>
      </c>
      <c r="O44" s="4">
        <f t="shared" si="0"/>
        <v>73163.295947865045</v>
      </c>
      <c r="P44" s="4">
        <f t="shared" si="1"/>
        <v>2536173.4735055072</v>
      </c>
    </row>
    <row r="45" spans="12:16" x14ac:dyDescent="0.3">
      <c r="L45">
        <v>26</v>
      </c>
      <c r="M45" s="69">
        <v>54058</v>
      </c>
      <c r="N45" s="70" t="s">
        <v>216</v>
      </c>
      <c r="O45" s="4">
        <f t="shared" si="0"/>
        <v>73163.295947865045</v>
      </c>
      <c r="P45" s="4">
        <f t="shared" si="1"/>
        <v>2672741.1062910096</v>
      </c>
    </row>
    <row r="46" spans="12:16" x14ac:dyDescent="0.3">
      <c r="L46">
        <v>27</v>
      </c>
      <c r="M46" s="69">
        <v>54424</v>
      </c>
      <c r="N46" s="70" t="s">
        <v>217</v>
      </c>
      <c r="O46" s="4">
        <f t="shared" si="0"/>
        <v>73163.295947865045</v>
      </c>
      <c r="P46" s="4">
        <f t="shared" si="1"/>
        <v>2812722.9298961498</v>
      </c>
    </row>
    <row r="47" spans="12:16" x14ac:dyDescent="0.3">
      <c r="L47">
        <v>28</v>
      </c>
      <c r="M47" s="69">
        <v>54789</v>
      </c>
      <c r="N47" s="70" t="s">
        <v>218</v>
      </c>
      <c r="O47" s="4">
        <f t="shared" si="0"/>
        <v>73163.295947865045</v>
      </c>
      <c r="P47" s="4">
        <f t="shared" si="1"/>
        <v>2956204.2990914183</v>
      </c>
    </row>
    <row r="48" spans="12:16" x14ac:dyDescent="0.3">
      <c r="L48">
        <v>29</v>
      </c>
      <c r="M48" s="69">
        <v>55154</v>
      </c>
      <c r="N48" s="70" t="s">
        <v>219</v>
      </c>
      <c r="O48" s="4">
        <f t="shared" si="0"/>
        <v>73163.295947865045</v>
      </c>
      <c r="P48" s="4">
        <f t="shared" si="1"/>
        <v>3103272.7025165684</v>
      </c>
    </row>
    <row r="49" spans="8:16" x14ac:dyDescent="0.3">
      <c r="L49">
        <v>30</v>
      </c>
      <c r="M49" s="69">
        <v>55519</v>
      </c>
      <c r="N49" s="70" t="s">
        <v>224</v>
      </c>
      <c r="O49" s="4">
        <f t="shared" si="0"/>
        <v>73163.295947865045</v>
      </c>
      <c r="P49" s="4">
        <f t="shared" si="1"/>
        <v>3254017.8160273475</v>
      </c>
    </row>
    <row r="50" spans="8:16" x14ac:dyDescent="0.3">
      <c r="L50">
        <v>31</v>
      </c>
      <c r="M50" s="69">
        <v>55885</v>
      </c>
      <c r="N50" s="70" t="s">
        <v>225</v>
      </c>
      <c r="O50" s="4">
        <f t="shared" si="0"/>
        <v>73163.295947865045</v>
      </c>
      <c r="P50" s="4">
        <f t="shared" si="1"/>
        <v>3408531.5573758958</v>
      </c>
    </row>
    <row r="51" spans="8:16" x14ac:dyDescent="0.3">
      <c r="L51">
        <v>32</v>
      </c>
      <c r="M51" s="69">
        <v>56250</v>
      </c>
      <c r="N51" s="70" t="s">
        <v>226</v>
      </c>
      <c r="O51" s="4">
        <f t="shared" si="0"/>
        <v>73163.295947865045</v>
      </c>
      <c r="P51" s="4">
        <f t="shared" si="1"/>
        <v>3566908.142258158</v>
      </c>
    </row>
    <row r="52" spans="8:16" x14ac:dyDescent="0.3">
      <c r="L52">
        <v>33</v>
      </c>
      <c r="M52" s="69">
        <v>56615</v>
      </c>
      <c r="N52" s="70" t="s">
        <v>231</v>
      </c>
      <c r="O52" s="4">
        <f t="shared" si="0"/>
        <v>73163.295947865045</v>
      </c>
      <c r="P52" s="4">
        <f t="shared" si="1"/>
        <v>3729244.1417624769</v>
      </c>
    </row>
    <row r="53" spans="8:16" x14ac:dyDescent="0.3">
      <c r="L53">
        <v>34</v>
      </c>
      <c r="M53" s="69">
        <v>56980</v>
      </c>
      <c r="N53" s="70" t="s">
        <v>166</v>
      </c>
      <c r="O53" s="4">
        <v>0</v>
      </c>
      <c r="P53" s="4">
        <f t="shared" si="1"/>
        <v>3822475.2453065384</v>
      </c>
    </row>
    <row r="54" spans="8:16" x14ac:dyDescent="0.3">
      <c r="L54">
        <v>35</v>
      </c>
      <c r="M54" s="69">
        <v>57346</v>
      </c>
      <c r="N54" s="70" t="s">
        <v>166</v>
      </c>
      <c r="O54" s="4">
        <v>0</v>
      </c>
      <c r="P54" s="4">
        <f t="shared" si="1"/>
        <v>3918037.1264392016</v>
      </c>
    </row>
    <row r="55" spans="8:16" x14ac:dyDescent="0.3">
      <c r="L55">
        <v>36</v>
      </c>
      <c r="M55" s="69">
        <v>57711</v>
      </c>
      <c r="N55" s="70" t="s">
        <v>166</v>
      </c>
      <c r="O55" s="4">
        <v>0</v>
      </c>
      <c r="P55" s="4">
        <f t="shared" si="1"/>
        <v>4015988.0546001815</v>
      </c>
    </row>
    <row r="56" spans="8:16" x14ac:dyDescent="0.3">
      <c r="H56" s="4"/>
      <c r="L56">
        <v>37</v>
      </c>
      <c r="M56" s="69">
        <v>58076</v>
      </c>
      <c r="N56" s="70" t="s">
        <v>166</v>
      </c>
      <c r="O56" s="4">
        <v>0</v>
      </c>
      <c r="P56" s="4">
        <f t="shared" si="1"/>
        <v>4116387.7559651858</v>
      </c>
    </row>
    <row r="57" spans="8:16" x14ac:dyDescent="0.3">
      <c r="L57">
        <v>38</v>
      </c>
      <c r="M57" s="69">
        <v>58441</v>
      </c>
      <c r="N57" s="70" t="s">
        <v>141</v>
      </c>
      <c r="O57" s="4">
        <v>-200000</v>
      </c>
      <c r="P57" s="4">
        <f t="shared" si="1"/>
        <v>4019297.4498643149</v>
      </c>
    </row>
    <row r="58" spans="8:16" x14ac:dyDescent="0.3">
      <c r="L58">
        <v>39</v>
      </c>
      <c r="M58" s="69">
        <v>58807</v>
      </c>
      <c r="N58" s="70" t="s">
        <v>142</v>
      </c>
      <c r="O58" s="4">
        <v>-200000</v>
      </c>
      <c r="P58" s="4">
        <f t="shared" si="1"/>
        <v>3919779.8861109223</v>
      </c>
    </row>
    <row r="59" spans="8:16" x14ac:dyDescent="0.3">
      <c r="L59">
        <v>40</v>
      </c>
      <c r="M59" s="69">
        <v>59172</v>
      </c>
      <c r="N59" s="70" t="s">
        <v>143</v>
      </c>
      <c r="O59" s="4">
        <v>-200000</v>
      </c>
      <c r="P59" s="4">
        <f t="shared" si="1"/>
        <v>3817774.3832636951</v>
      </c>
    </row>
    <row r="60" spans="8:16" x14ac:dyDescent="0.3">
      <c r="L60">
        <v>41</v>
      </c>
      <c r="M60" s="69">
        <v>59537</v>
      </c>
      <c r="N60" s="70" t="s">
        <v>144</v>
      </c>
      <c r="O60" s="4">
        <v>-200000</v>
      </c>
      <c r="P60" s="4">
        <f t="shared" si="1"/>
        <v>3713218.7428452871</v>
      </c>
    </row>
    <row r="61" spans="8:16" x14ac:dyDescent="0.3">
      <c r="L61">
        <v>42</v>
      </c>
      <c r="M61" s="69">
        <v>59902</v>
      </c>
      <c r="N61" s="70" t="s">
        <v>145</v>
      </c>
      <c r="O61" s="4">
        <v>-200000</v>
      </c>
      <c r="P61" s="4">
        <f t="shared" si="1"/>
        <v>3606049.2114164191</v>
      </c>
    </row>
    <row r="62" spans="8:16" x14ac:dyDescent="0.3">
      <c r="L62">
        <v>43</v>
      </c>
      <c r="M62" s="69">
        <v>60268</v>
      </c>
      <c r="N62" s="70" t="s">
        <v>146</v>
      </c>
      <c r="O62" s="4">
        <v>-200000</v>
      </c>
      <c r="P62" s="4">
        <f t="shared" si="1"/>
        <v>3496200.4417018294</v>
      </c>
    </row>
    <row r="63" spans="8:16" x14ac:dyDescent="0.3">
      <c r="L63">
        <v>44</v>
      </c>
      <c r="M63" s="69">
        <v>60633</v>
      </c>
      <c r="N63" s="70" t="s">
        <v>147</v>
      </c>
      <c r="O63" s="4">
        <v>-200000</v>
      </c>
      <c r="P63" s="4">
        <f t="shared" si="1"/>
        <v>3383605.452744375</v>
      </c>
    </row>
    <row r="64" spans="8:16" x14ac:dyDescent="0.3">
      <c r="L64">
        <v>45</v>
      </c>
      <c r="M64" s="69">
        <v>60998</v>
      </c>
      <c r="N64" s="70" t="s">
        <v>148</v>
      </c>
      <c r="O64" s="4">
        <v>-200000</v>
      </c>
      <c r="P64" s="4">
        <f t="shared" si="1"/>
        <v>3268195.5890629841</v>
      </c>
    </row>
    <row r="65" spans="12:16" x14ac:dyDescent="0.3">
      <c r="L65">
        <v>46</v>
      </c>
      <c r="M65" s="69">
        <v>61363</v>
      </c>
      <c r="N65" s="70" t="s">
        <v>149</v>
      </c>
      <c r="O65" s="4">
        <v>-200000</v>
      </c>
      <c r="P65" s="4">
        <f t="shared" si="1"/>
        <v>3149900.4787895586</v>
      </c>
    </row>
    <row r="66" spans="12:16" x14ac:dyDescent="0.3">
      <c r="L66">
        <v>47</v>
      </c>
      <c r="M66" s="69">
        <v>61729</v>
      </c>
      <c r="N66" s="70" t="s">
        <v>150</v>
      </c>
      <c r="O66" s="4">
        <v>-200000</v>
      </c>
      <c r="P66" s="4">
        <f t="shared" si="1"/>
        <v>3028647.9907592973</v>
      </c>
    </row>
    <row r="67" spans="12:16" x14ac:dyDescent="0.3">
      <c r="L67">
        <v>48</v>
      </c>
      <c r="M67" s="69">
        <v>62094</v>
      </c>
      <c r="N67" s="70" t="s">
        <v>151</v>
      </c>
      <c r="O67" s="4">
        <v>-200000</v>
      </c>
      <c r="P67" s="4">
        <f t="shared" si="1"/>
        <v>2904364.1905282796</v>
      </c>
    </row>
    <row r="68" spans="12:16" x14ac:dyDescent="0.3">
      <c r="L68">
        <v>49</v>
      </c>
      <c r="M68" s="69">
        <v>62459</v>
      </c>
      <c r="N68" s="70" t="s">
        <v>152</v>
      </c>
      <c r="O68" s="4">
        <v>-200000</v>
      </c>
      <c r="P68" s="4">
        <f t="shared" si="1"/>
        <v>2776973.2952914862</v>
      </c>
    </row>
    <row r="69" spans="12:16" x14ac:dyDescent="0.3">
      <c r="L69">
        <v>50</v>
      </c>
      <c r="M69" s="69">
        <v>62824</v>
      </c>
      <c r="N69" s="70" t="s">
        <v>153</v>
      </c>
      <c r="O69" s="4">
        <v>-200000</v>
      </c>
      <c r="P69" s="4">
        <f t="shared" si="1"/>
        <v>2646397.6276737731</v>
      </c>
    </row>
    <row r="70" spans="12:16" x14ac:dyDescent="0.3">
      <c r="L70">
        <v>51</v>
      </c>
      <c r="M70" s="69">
        <v>63190</v>
      </c>
      <c r="N70" s="70" t="s">
        <v>154</v>
      </c>
      <c r="O70" s="4">
        <v>-200000</v>
      </c>
      <c r="P70" s="4">
        <f t="shared" si="1"/>
        <v>2512557.5683656172</v>
      </c>
    </row>
    <row r="71" spans="12:16" x14ac:dyDescent="0.3">
      <c r="L71">
        <v>52</v>
      </c>
      <c r="M71" s="69">
        <v>63555</v>
      </c>
      <c r="N71" s="70" t="s">
        <v>155</v>
      </c>
      <c r="O71" s="4">
        <v>-200000</v>
      </c>
      <c r="P71" s="4">
        <f t="shared" si="1"/>
        <v>2375371.5075747576</v>
      </c>
    </row>
    <row r="72" spans="12:16" x14ac:dyDescent="0.3">
      <c r="L72">
        <v>53</v>
      </c>
      <c r="M72" s="69">
        <v>63920</v>
      </c>
      <c r="N72" s="70" t="s">
        <v>156</v>
      </c>
      <c r="O72" s="4">
        <v>-200000</v>
      </c>
      <c r="P72" s="4">
        <f t="shared" si="1"/>
        <v>2234755.7952641263</v>
      </c>
    </row>
    <row r="73" spans="12:16" x14ac:dyDescent="0.3">
      <c r="L73">
        <v>54</v>
      </c>
      <c r="M73" s="69">
        <v>64285</v>
      </c>
      <c r="N73" s="70" t="s">
        <v>157</v>
      </c>
      <c r="O73" s="4">
        <v>-200000</v>
      </c>
      <c r="P73" s="4">
        <f t="shared" si="1"/>
        <v>2090624.6901457291</v>
      </c>
    </row>
    <row r="74" spans="12:16" x14ac:dyDescent="0.3">
      <c r="L74">
        <v>55</v>
      </c>
      <c r="M74" s="69">
        <v>64651</v>
      </c>
      <c r="N74" s="70" t="s">
        <v>158</v>
      </c>
      <c r="O74" s="4">
        <v>-200000</v>
      </c>
      <c r="P74" s="4">
        <f t="shared" si="1"/>
        <v>1942890.3073993721</v>
      </c>
    </row>
    <row r="75" spans="12:16" x14ac:dyDescent="0.3">
      <c r="L75">
        <v>56</v>
      </c>
      <c r="M75" s="69">
        <v>65016</v>
      </c>
      <c r="N75" s="70" t="s">
        <v>159</v>
      </c>
      <c r="O75" s="4">
        <v>-200000</v>
      </c>
      <c r="P75" s="4">
        <f t="shared" si="1"/>
        <v>1791462.5650843563</v>
      </c>
    </row>
    <row r="76" spans="12:16" x14ac:dyDescent="0.3">
      <c r="L76">
        <v>57</v>
      </c>
      <c r="M76" s="69">
        <v>65381</v>
      </c>
      <c r="N76" s="70" t="s">
        <v>160</v>
      </c>
      <c r="O76" s="4">
        <v>-200000</v>
      </c>
      <c r="P76" s="4">
        <f t="shared" si="1"/>
        <v>1636249.1292114651</v>
      </c>
    </row>
    <row r="77" spans="12:16" x14ac:dyDescent="0.3">
      <c r="L77">
        <v>58</v>
      </c>
      <c r="M77" s="69">
        <v>65746</v>
      </c>
      <c r="N77" s="70" t="s">
        <v>172</v>
      </c>
      <c r="O77" s="4">
        <v>-200000</v>
      </c>
      <c r="P77" s="4">
        <f t="shared" si="1"/>
        <v>1477155.3574417515</v>
      </c>
    </row>
    <row r="78" spans="12:16" x14ac:dyDescent="0.3">
      <c r="L78">
        <v>59</v>
      </c>
      <c r="M78" s="69">
        <v>66112</v>
      </c>
      <c r="N78" s="70" t="s">
        <v>173</v>
      </c>
      <c r="O78" s="4">
        <v>-200000</v>
      </c>
      <c r="P78" s="4">
        <f t="shared" si="1"/>
        <v>1314084.2413777951</v>
      </c>
    </row>
    <row r="79" spans="12:16" x14ac:dyDescent="0.3">
      <c r="L79">
        <v>60</v>
      </c>
      <c r="M79" s="69">
        <v>66477</v>
      </c>
      <c r="N79" s="70" t="s">
        <v>174</v>
      </c>
      <c r="O79" s="4">
        <v>-200000</v>
      </c>
      <c r="P79" s="4">
        <f t="shared" si="1"/>
        <v>1146936.3474122398</v>
      </c>
    </row>
    <row r="80" spans="12:16" x14ac:dyDescent="0.3">
      <c r="L80">
        <v>61</v>
      </c>
      <c r="M80" s="69">
        <v>66842</v>
      </c>
      <c r="N80" s="70" t="s">
        <v>175</v>
      </c>
      <c r="O80" s="4">
        <v>-200000</v>
      </c>
      <c r="P80" s="4">
        <f t="shared" si="1"/>
        <v>975609.75609754561</v>
      </c>
    </row>
    <row r="81" spans="12:16" x14ac:dyDescent="0.3">
      <c r="L81">
        <v>62</v>
      </c>
      <c r="M81" s="69">
        <v>67207</v>
      </c>
      <c r="N81" s="70" t="s">
        <v>176</v>
      </c>
      <c r="O81" s="4">
        <v>-200000</v>
      </c>
      <c r="P81" s="4">
        <f t="shared" si="1"/>
        <v>799999.99999998417</v>
      </c>
    </row>
    <row r="82" spans="12:16" x14ac:dyDescent="0.3">
      <c r="M82" s="69"/>
      <c r="O82" s="4"/>
      <c r="P82" s="4"/>
    </row>
    <row r="83" spans="12:16" x14ac:dyDescent="0.3">
      <c r="M83" s="69"/>
      <c r="O83" s="4"/>
      <c r="P83" s="4"/>
    </row>
    <row r="84" spans="12:16" x14ac:dyDescent="0.3">
      <c r="M84" s="69"/>
      <c r="O84" s="4"/>
      <c r="P84" s="4"/>
    </row>
    <row r="85" spans="12:16" x14ac:dyDescent="0.3">
      <c r="M85" s="69"/>
      <c r="O85" s="4"/>
      <c r="P85" s="4"/>
    </row>
    <row r="86" spans="12:16" x14ac:dyDescent="0.3">
      <c r="M86" s="69"/>
      <c r="O86" s="4"/>
      <c r="P86" s="4"/>
    </row>
  </sheetData>
  <mergeCells count="1">
    <mergeCell ref="B19:K19"/>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0"/>
  <sheetViews>
    <sheetView showGridLines="0" workbookViewId="0">
      <selection activeCell="M20" sqref="M20"/>
    </sheetView>
  </sheetViews>
  <sheetFormatPr defaultColWidth="9.109375" defaultRowHeight="14.4" x14ac:dyDescent="0.3"/>
  <cols>
    <col min="1" max="1" width="2.6640625" customWidth="1"/>
    <col min="6" max="6" width="13.33203125" bestFit="1" customWidth="1"/>
    <col min="7" max="7" width="12" customWidth="1"/>
    <col min="8" max="8" width="12.109375" customWidth="1"/>
    <col min="9" max="9" width="14.109375" customWidth="1"/>
    <col min="12" max="12" width="4.88671875" customWidth="1"/>
  </cols>
  <sheetData>
    <row r="2" spans="2:11" x14ac:dyDescent="0.3">
      <c r="B2" s="15" t="s">
        <v>221</v>
      </c>
    </row>
    <row r="4" spans="2:11" x14ac:dyDescent="0.3">
      <c r="B4" s="15" t="s">
        <v>59</v>
      </c>
    </row>
    <row r="5" spans="2:11" s="15" customFormat="1" x14ac:dyDescent="0.3">
      <c r="B5" s="7" t="s">
        <v>8</v>
      </c>
      <c r="F5" s="79">
        <v>475000</v>
      </c>
    </row>
    <row r="6" spans="2:11" s="15" customFormat="1" x14ac:dyDescent="0.3">
      <c r="B6" s="7" t="s">
        <v>196</v>
      </c>
      <c r="F6" s="80">
        <v>22</v>
      </c>
    </row>
    <row r="7" spans="2:11" s="15" customFormat="1" x14ac:dyDescent="0.3">
      <c r="B7" s="7" t="s">
        <v>9</v>
      </c>
      <c r="F7" s="81">
        <v>2.5000000000000001E-2</v>
      </c>
    </row>
    <row r="8" spans="2:11" s="15" customFormat="1" x14ac:dyDescent="0.3">
      <c r="B8" s="7"/>
      <c r="F8" s="82"/>
    </row>
    <row r="9" spans="2:11" s="15" customFormat="1" x14ac:dyDescent="0.3">
      <c r="B9" s="7" t="s">
        <v>197</v>
      </c>
      <c r="F9" s="83">
        <v>150</v>
      </c>
    </row>
    <row r="10" spans="2:11" s="15" customFormat="1" x14ac:dyDescent="0.3">
      <c r="B10" s="7"/>
      <c r="F10" s="15" t="s">
        <v>236</v>
      </c>
    </row>
    <row r="11" spans="2:11" x14ac:dyDescent="0.3">
      <c r="B11" s="84" t="s">
        <v>179</v>
      </c>
    </row>
    <row r="12" spans="2:11" x14ac:dyDescent="0.3">
      <c r="B12" s="84" t="s">
        <v>180</v>
      </c>
    </row>
    <row r="13" spans="2:11" x14ac:dyDescent="0.3">
      <c r="B13" s="84" t="s">
        <v>181</v>
      </c>
    </row>
    <row r="14" spans="2:11" x14ac:dyDescent="0.3">
      <c r="B14" s="84" t="s">
        <v>182</v>
      </c>
    </row>
    <row r="15" spans="2:11" ht="15" thickBot="1" x14ac:dyDescent="0.35"/>
    <row r="16" spans="2:11" ht="15" thickBot="1" x14ac:dyDescent="0.35">
      <c r="B16" s="112" t="s">
        <v>183</v>
      </c>
      <c r="C16" s="112"/>
      <c r="D16" s="112"/>
      <c r="E16" s="112"/>
      <c r="F16" s="112"/>
      <c r="G16" s="112"/>
      <c r="H16" s="112"/>
      <c r="I16" s="112"/>
      <c r="J16" s="112"/>
      <c r="K16" s="112"/>
    </row>
    <row r="18" spans="2:11" x14ac:dyDescent="0.3">
      <c r="B18" s="85" t="s">
        <v>184</v>
      </c>
    </row>
    <row r="19" spans="2:11" ht="15" thickBot="1" x14ac:dyDescent="0.35"/>
    <row r="20" spans="2:11" ht="15" thickBot="1" x14ac:dyDescent="0.35">
      <c r="C20" s="15" t="s">
        <v>185</v>
      </c>
      <c r="I20" s="46">
        <f>PMT(F7/12,F6*12,-F5)</f>
        <v>2340.9900438992504</v>
      </c>
    </row>
    <row r="21" spans="2:11" ht="15" thickBot="1" x14ac:dyDescent="0.35">
      <c r="C21" s="15" t="s">
        <v>186</v>
      </c>
      <c r="I21" s="46">
        <f>I28</f>
        <v>498.27542243173247</v>
      </c>
    </row>
    <row r="22" spans="2:11" ht="15" thickBot="1" x14ac:dyDescent="0.35">
      <c r="C22" s="15" t="s">
        <v>187</v>
      </c>
      <c r="I22" s="46">
        <f t="shared" ref="I22:I23" si="0">I29</f>
        <v>1842.7146214675179</v>
      </c>
    </row>
    <row r="23" spans="2:11" ht="15" thickBot="1" x14ac:dyDescent="0.35">
      <c r="C23" s="15" t="s">
        <v>188</v>
      </c>
      <c r="I23" s="46">
        <f t="shared" si="0"/>
        <v>237329.48814576404</v>
      </c>
    </row>
    <row r="24" spans="2:11" ht="15" thickBot="1" x14ac:dyDescent="0.35"/>
    <row r="25" spans="2:11" ht="15" thickBot="1" x14ac:dyDescent="0.35">
      <c r="B25" s="112" t="s">
        <v>102</v>
      </c>
      <c r="C25" s="112"/>
      <c r="D25" s="112"/>
      <c r="E25" s="112"/>
      <c r="F25" s="112"/>
      <c r="G25" s="112"/>
      <c r="H25" s="112"/>
      <c r="I25" s="112"/>
      <c r="J25" s="112"/>
      <c r="K25" s="112"/>
    </row>
    <row r="27" spans="2:11" x14ac:dyDescent="0.3">
      <c r="C27" t="s">
        <v>189</v>
      </c>
      <c r="I27" s="4">
        <f>PV(F7/12,F6*12-F9+1,-I20)</f>
        <v>239172.20276723156</v>
      </c>
    </row>
    <row r="28" spans="2:11" x14ac:dyDescent="0.3">
      <c r="C28" t="s">
        <v>190</v>
      </c>
      <c r="I28" s="4">
        <f>I27*F7/12</f>
        <v>498.27542243173247</v>
      </c>
    </row>
    <row r="29" spans="2:11" x14ac:dyDescent="0.3">
      <c r="C29" t="s">
        <v>191</v>
      </c>
      <c r="I29" s="4">
        <f>I20-I28</f>
        <v>1842.7146214675179</v>
      </c>
    </row>
    <row r="30" spans="2:11" x14ac:dyDescent="0.3">
      <c r="C30" t="s">
        <v>192</v>
      </c>
      <c r="I30" s="4">
        <f>I27-I29</f>
        <v>237329.48814576404</v>
      </c>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14"/>
  <sheetViews>
    <sheetView showGridLines="0" topLeftCell="A4" zoomScale="115" zoomScaleNormal="115" workbookViewId="0">
      <selection activeCell="E132" sqref="E132"/>
    </sheetView>
  </sheetViews>
  <sheetFormatPr defaultRowHeight="14.4" x14ac:dyDescent="0.3"/>
  <cols>
    <col min="1" max="1" width="3.5546875" customWidth="1"/>
    <col min="2" max="2" width="5" customWidth="1"/>
    <col min="3" max="3" width="6.6640625" customWidth="1"/>
    <col min="4" max="4" width="17" customWidth="1"/>
    <col min="5" max="5" width="13.6640625" customWidth="1"/>
    <col min="6" max="6" width="11" customWidth="1"/>
    <col min="7" max="7" width="11.6640625" customWidth="1"/>
    <col min="8" max="8" width="12.33203125" bestFit="1" customWidth="1"/>
    <col min="10" max="14" width="12.6640625" customWidth="1"/>
    <col min="15" max="15" width="11.6640625" bestFit="1" customWidth="1"/>
  </cols>
  <sheetData>
    <row r="2" spans="2:8" ht="23.4" x14ac:dyDescent="0.45">
      <c r="B2" s="1" t="s">
        <v>96</v>
      </c>
    </row>
    <row r="3" spans="2:8" ht="23.4" x14ac:dyDescent="0.45">
      <c r="B3" s="1"/>
    </row>
    <row r="4" spans="2:8" ht="23.4" x14ac:dyDescent="0.45">
      <c r="B4" s="1"/>
    </row>
    <row r="5" spans="2:8" ht="23.4" x14ac:dyDescent="0.45">
      <c r="B5" s="1"/>
    </row>
    <row r="6" spans="2:8" ht="23.4" x14ac:dyDescent="0.45">
      <c r="B6" s="1"/>
    </row>
    <row r="7" spans="2:8" ht="23.4" x14ac:dyDescent="0.45">
      <c r="B7" s="1"/>
    </row>
    <row r="10" spans="2:8" x14ac:dyDescent="0.3">
      <c r="H10" s="4"/>
    </row>
    <row r="11" spans="2:8" ht="14.7" customHeight="1" x14ac:dyDescent="0.3">
      <c r="B11" s="38" t="s">
        <v>0</v>
      </c>
      <c r="C11" t="s">
        <v>2</v>
      </c>
    </row>
    <row r="12" spans="2:8" ht="14.7" customHeight="1" x14ac:dyDescent="0.3">
      <c r="C12" t="s">
        <v>88</v>
      </c>
    </row>
    <row r="13" spans="2:8" ht="14.7" customHeight="1" x14ac:dyDescent="0.3">
      <c r="C13" t="s">
        <v>222</v>
      </c>
    </row>
    <row r="14" spans="2:8" ht="14.7" customHeight="1" x14ac:dyDescent="0.3">
      <c r="C14" t="s">
        <v>97</v>
      </c>
    </row>
    <row r="15" spans="2:8" ht="15" thickBot="1" x14ac:dyDescent="0.35"/>
    <row r="16" spans="2:8" ht="15" thickBot="1" x14ac:dyDescent="0.35">
      <c r="D16" s="87" t="s">
        <v>87</v>
      </c>
      <c r="E16" s="88" t="s">
        <v>4</v>
      </c>
    </row>
    <row r="17" spans="3:10" x14ac:dyDescent="0.3">
      <c r="D17" s="89">
        <v>1</v>
      </c>
      <c r="E17" s="90">
        <v>0</v>
      </c>
    </row>
    <row r="18" spans="3:10" x14ac:dyDescent="0.3">
      <c r="D18" s="54">
        <v>2</v>
      </c>
      <c r="E18" s="72">
        <v>0</v>
      </c>
    </row>
    <row r="19" spans="3:10" x14ac:dyDescent="0.3">
      <c r="D19" s="54">
        <v>3</v>
      </c>
      <c r="E19" s="86">
        <v>15000</v>
      </c>
      <c r="F19" t="s">
        <v>5</v>
      </c>
    </row>
    <row r="20" spans="3:10" x14ac:dyDescent="0.3">
      <c r="D20" s="54">
        <v>4</v>
      </c>
      <c r="E20" s="72">
        <f>E19</f>
        <v>15000</v>
      </c>
    </row>
    <row r="21" spans="3:10" x14ac:dyDescent="0.3">
      <c r="D21" s="54">
        <v>5</v>
      </c>
      <c r="E21" s="72">
        <f>E20</f>
        <v>15000</v>
      </c>
    </row>
    <row r="22" spans="3:10" x14ac:dyDescent="0.3">
      <c r="D22" s="54">
        <v>6</v>
      </c>
      <c r="E22" s="72">
        <f t="shared" ref="E22:E25" si="0">E21</f>
        <v>15000</v>
      </c>
      <c r="J22" s="4"/>
    </row>
    <row r="23" spans="3:10" x14ac:dyDescent="0.3">
      <c r="D23" s="54">
        <v>7</v>
      </c>
      <c r="E23" s="72">
        <f t="shared" si="0"/>
        <v>15000</v>
      </c>
    </row>
    <row r="24" spans="3:10" x14ac:dyDescent="0.3">
      <c r="D24" s="54">
        <v>8</v>
      </c>
      <c r="E24" s="72">
        <f t="shared" si="0"/>
        <v>15000</v>
      </c>
      <c r="J24" s="42"/>
    </row>
    <row r="25" spans="3:10" x14ac:dyDescent="0.3">
      <c r="D25" s="54">
        <v>9</v>
      </c>
      <c r="E25" s="72">
        <f t="shared" si="0"/>
        <v>15000</v>
      </c>
    </row>
    <row r="26" spans="3:10" ht="15" thickBot="1" x14ac:dyDescent="0.35">
      <c r="D26" s="53">
        <v>10</v>
      </c>
      <c r="E26" s="91">
        <v>12500</v>
      </c>
      <c r="F26" t="s">
        <v>5</v>
      </c>
      <c r="H26" s="4"/>
    </row>
    <row r="28" spans="3:10" x14ac:dyDescent="0.3">
      <c r="C28" t="s">
        <v>89</v>
      </c>
      <c r="E28" s="3">
        <v>4.2500000000000003E-2</v>
      </c>
      <c r="F28" t="s">
        <v>5</v>
      </c>
      <c r="I28" s="4"/>
    </row>
    <row r="30" spans="3:10" x14ac:dyDescent="0.3">
      <c r="C30" t="s">
        <v>90</v>
      </c>
    </row>
    <row r="31" spans="3:10" x14ac:dyDescent="0.3">
      <c r="C31" t="s">
        <v>91</v>
      </c>
    </row>
    <row r="32" spans="3:10" x14ac:dyDescent="0.3">
      <c r="C32" t="s">
        <v>213</v>
      </c>
    </row>
    <row r="33" spans="2:6" ht="15" thickBot="1" x14ac:dyDescent="0.35"/>
    <row r="34" spans="2:6" ht="15" thickBot="1" x14ac:dyDescent="0.35">
      <c r="C34" t="s">
        <v>92</v>
      </c>
      <c r="D34" s="113">
        <f>PV(E28,2,0,PV(E28,8,E19,E26-E19))</f>
        <v>90324.064485342868</v>
      </c>
      <c r="E34" s="114"/>
    </row>
    <row r="36" spans="2:6" x14ac:dyDescent="0.3">
      <c r="B36" s="38" t="s">
        <v>1</v>
      </c>
      <c r="C36" t="s">
        <v>107</v>
      </c>
    </row>
    <row r="37" spans="2:6" x14ac:dyDescent="0.3">
      <c r="C37" t="s">
        <v>108</v>
      </c>
    </row>
    <row r="38" spans="2:6" x14ac:dyDescent="0.3">
      <c r="C38" t="s">
        <v>194</v>
      </c>
    </row>
    <row r="39" spans="2:6" ht="15" thickBot="1" x14ac:dyDescent="0.35"/>
    <row r="40" spans="2:6" ht="15" thickBot="1" x14ac:dyDescent="0.35">
      <c r="C40" s="55" t="s">
        <v>109</v>
      </c>
      <c r="F40" s="56">
        <v>5.1999999999999998E-2</v>
      </c>
    </row>
    <row r="41" spans="2:6" ht="15" thickBot="1" x14ac:dyDescent="0.35">
      <c r="E41" s="8"/>
      <c r="F41" s="8"/>
    </row>
    <row r="42" spans="2:6" ht="43.8" thickBot="1" x14ac:dyDescent="0.35">
      <c r="E42" s="58" t="s">
        <v>110</v>
      </c>
      <c r="F42" s="58" t="s">
        <v>111</v>
      </c>
    </row>
    <row r="43" spans="2:6" x14ac:dyDescent="0.3">
      <c r="E43" s="12" t="s">
        <v>75</v>
      </c>
      <c r="F43" s="57">
        <f>FV(F40/4,4,0,-1)-1</f>
        <v>5.302281656099983E-2</v>
      </c>
    </row>
    <row r="44" spans="2:6" x14ac:dyDescent="0.3">
      <c r="E44" s="12" t="s">
        <v>76</v>
      </c>
      <c r="F44" s="57">
        <f>FV(F40/12,12,0,-1)-1</f>
        <v>5.3257410570540342E-2</v>
      </c>
    </row>
    <row r="45" spans="2:6" ht="15" thickBot="1" x14ac:dyDescent="0.35">
      <c r="E45" s="12" t="s">
        <v>112</v>
      </c>
      <c r="F45" s="57">
        <f>FV(F40/365,365,0,-1)-1</f>
        <v>5.3371841071924608E-2</v>
      </c>
    </row>
    <row r="46" spans="2:6" ht="15" thickBot="1" x14ac:dyDescent="0.35">
      <c r="E46" s="59" t="s">
        <v>113</v>
      </c>
      <c r="F46" s="48">
        <f>EXP(F40)-1</f>
        <v>5.3375742513364743E-2</v>
      </c>
    </row>
    <row r="49" spans="2:11" x14ac:dyDescent="0.3">
      <c r="B49" s="38" t="s">
        <v>6</v>
      </c>
      <c r="C49" t="s">
        <v>72</v>
      </c>
    </row>
    <row r="50" spans="2:11" x14ac:dyDescent="0.3">
      <c r="B50" s="38"/>
    </row>
    <row r="51" spans="2:11" x14ac:dyDescent="0.3">
      <c r="B51" s="38"/>
      <c r="D51" s="93" t="s">
        <v>210</v>
      </c>
    </row>
    <row r="52" spans="2:11" x14ac:dyDescent="0.3">
      <c r="B52" s="38"/>
      <c r="C52" t="s">
        <v>199</v>
      </c>
      <c r="D52" s="94">
        <v>0</v>
      </c>
    </row>
    <row r="53" spans="2:11" ht="17.7" customHeight="1" x14ac:dyDescent="0.3">
      <c r="B53" s="38"/>
      <c r="C53" t="s">
        <v>200</v>
      </c>
      <c r="D53" s="94">
        <v>0</v>
      </c>
    </row>
    <row r="54" spans="2:11" ht="19.5" customHeight="1" x14ac:dyDescent="0.3">
      <c r="B54" s="38"/>
      <c r="C54" t="s">
        <v>201</v>
      </c>
      <c r="D54" s="94">
        <v>0</v>
      </c>
    </row>
    <row r="55" spans="2:11" ht="19.5" customHeight="1" x14ac:dyDescent="0.3">
      <c r="B55" s="38"/>
      <c r="C55" t="s">
        <v>202</v>
      </c>
      <c r="D55" s="94">
        <v>1000</v>
      </c>
    </row>
    <row r="56" spans="2:11" ht="19.5" customHeight="1" x14ac:dyDescent="0.3">
      <c r="B56" s="38"/>
      <c r="C56" t="s">
        <v>203</v>
      </c>
      <c r="D56" s="95">
        <v>1000</v>
      </c>
    </row>
    <row r="57" spans="2:11" ht="19.5" customHeight="1" x14ac:dyDescent="0.3">
      <c r="B57" s="38"/>
      <c r="C57" t="s">
        <v>204</v>
      </c>
      <c r="D57" s="100" t="s">
        <v>211</v>
      </c>
    </row>
    <row r="58" spans="2:11" ht="19.5" customHeight="1" x14ac:dyDescent="0.3">
      <c r="B58" s="38"/>
      <c r="C58" t="s">
        <v>205</v>
      </c>
      <c r="D58" s="100" t="s">
        <v>211</v>
      </c>
    </row>
    <row r="59" spans="2:11" ht="19.5" customHeight="1" x14ac:dyDescent="0.3">
      <c r="B59" s="38"/>
      <c r="C59" t="s">
        <v>206</v>
      </c>
      <c r="D59" s="100" t="s">
        <v>211</v>
      </c>
      <c r="J59" s="95"/>
    </row>
    <row r="60" spans="2:11" ht="19.5" customHeight="1" x14ac:dyDescent="0.3">
      <c r="B60" s="38"/>
      <c r="C60" t="s">
        <v>207</v>
      </c>
      <c r="D60" s="94">
        <v>1000</v>
      </c>
      <c r="J60" s="94"/>
    </row>
    <row r="61" spans="2:11" ht="19.5" customHeight="1" x14ac:dyDescent="0.3">
      <c r="B61" s="38"/>
      <c r="C61" t="s">
        <v>208</v>
      </c>
      <c r="D61" s="94">
        <v>1000</v>
      </c>
      <c r="J61" s="94"/>
    </row>
    <row r="62" spans="2:11" ht="19.5" customHeight="1" x14ac:dyDescent="0.3">
      <c r="B62" s="38"/>
      <c r="C62" t="s">
        <v>209</v>
      </c>
      <c r="D62" s="94">
        <v>1500</v>
      </c>
      <c r="J62" s="94"/>
    </row>
    <row r="63" spans="2:11" ht="19.5" customHeight="1" x14ac:dyDescent="0.3">
      <c r="B63" s="38"/>
      <c r="J63" s="4"/>
      <c r="K63" s="4"/>
    </row>
    <row r="64" spans="2:11" x14ac:dyDescent="0.3">
      <c r="C64" t="s">
        <v>243</v>
      </c>
    </row>
    <row r="65" spans="2:15" ht="14.7" customHeight="1" x14ac:dyDescent="0.3">
      <c r="C65" t="s">
        <v>237</v>
      </c>
    </row>
    <row r="66" spans="2:15" x14ac:dyDescent="0.3">
      <c r="C66" t="s">
        <v>73</v>
      </c>
      <c r="L66" s="4"/>
    </row>
    <row r="67" spans="2:15" x14ac:dyDescent="0.3">
      <c r="C67" t="s">
        <v>82</v>
      </c>
      <c r="L67" s="4"/>
    </row>
    <row r="68" spans="2:15" x14ac:dyDescent="0.3">
      <c r="C68" t="s">
        <v>238</v>
      </c>
      <c r="L68" s="4"/>
      <c r="O68" s="4"/>
    </row>
    <row r="69" spans="2:15" x14ac:dyDescent="0.3">
      <c r="C69" s="60"/>
      <c r="K69" s="4"/>
      <c r="L69" s="4"/>
      <c r="O69" s="4"/>
    </row>
    <row r="70" spans="2:15" x14ac:dyDescent="0.3">
      <c r="C70" t="s">
        <v>239</v>
      </c>
      <c r="E70" s="4">
        <f>-PV(0.05,2,1000)</f>
        <v>1859.4104308390031</v>
      </c>
      <c r="K70" s="4"/>
      <c r="L70" s="4"/>
      <c r="O70" s="4"/>
    </row>
    <row r="71" spans="2:15" x14ac:dyDescent="0.3">
      <c r="C71" t="s">
        <v>240</v>
      </c>
      <c r="F71" s="4">
        <f>-PV(0.05,2,0,E70)</f>
        <v>1686.5400733233587</v>
      </c>
      <c r="K71" s="4"/>
      <c r="L71" s="4"/>
      <c r="M71" s="4"/>
    </row>
    <row r="72" spans="2:15" x14ac:dyDescent="0.3">
      <c r="C72" t="s">
        <v>241</v>
      </c>
      <c r="E72" s="4">
        <f>-PV(0.05,3,1000,500)</f>
        <v>3155.1668286362183</v>
      </c>
      <c r="K72" s="4"/>
      <c r="L72" s="4"/>
    </row>
    <row r="73" spans="2:15" x14ac:dyDescent="0.3">
      <c r="C73" t="s">
        <v>242</v>
      </c>
      <c r="E73" s="4"/>
      <c r="F73" s="92">
        <f>-PV(0.05,7,0,E72)</f>
        <v>2242.3181585576244</v>
      </c>
      <c r="K73" s="4"/>
      <c r="L73" s="4"/>
    </row>
    <row r="74" spans="2:15" x14ac:dyDescent="0.3">
      <c r="C74" t="s">
        <v>93</v>
      </c>
      <c r="E74" s="4"/>
      <c r="F74" s="4">
        <f>SUM(F71:F73)</f>
        <v>3928.8582318809831</v>
      </c>
      <c r="K74" s="4"/>
      <c r="L74" s="4"/>
    </row>
    <row r="75" spans="2:15" x14ac:dyDescent="0.3">
      <c r="C75" t="s">
        <v>94</v>
      </c>
      <c r="G75" s="4">
        <f>3500-F74</f>
        <v>-428.85823188098311</v>
      </c>
      <c r="L75" s="4"/>
    </row>
    <row r="76" spans="2:15" x14ac:dyDescent="0.3">
      <c r="C76" t="s">
        <v>220</v>
      </c>
      <c r="G76" s="4">
        <f>FV(0.05,4,0,-G75)</f>
        <v>-521.2798612152842</v>
      </c>
      <c r="K76" s="4"/>
      <c r="L76" s="4"/>
    </row>
    <row r="77" spans="2:15" x14ac:dyDescent="0.3">
      <c r="C77" t="s">
        <v>95</v>
      </c>
      <c r="G77" s="4">
        <f>PMT(0.05,3,-G76)</f>
        <v>-191.41842960803913</v>
      </c>
      <c r="L77" s="4"/>
    </row>
    <row r="78" spans="2:15" x14ac:dyDescent="0.3">
      <c r="G78" s="4"/>
      <c r="L78" s="4"/>
    </row>
    <row r="79" spans="2:15" x14ac:dyDescent="0.3">
      <c r="F79" s="38"/>
      <c r="O79" s="4"/>
    </row>
    <row r="80" spans="2:15" x14ac:dyDescent="0.3">
      <c r="B80" s="38" t="s">
        <v>7</v>
      </c>
      <c r="C80" t="s">
        <v>20</v>
      </c>
    </row>
    <row r="81" spans="2:14" ht="16.2" x14ac:dyDescent="0.45">
      <c r="C81" t="s">
        <v>244</v>
      </c>
      <c r="I81" s="17" t="s">
        <v>3</v>
      </c>
      <c r="J81" s="17" t="s">
        <v>17</v>
      </c>
      <c r="K81" s="17" t="s">
        <v>18</v>
      </c>
      <c r="L81" s="17" t="s">
        <v>28</v>
      </c>
      <c r="M81" s="17" t="s">
        <v>19</v>
      </c>
      <c r="N81" s="17"/>
    </row>
    <row r="82" spans="2:14" x14ac:dyDescent="0.3">
      <c r="C82" t="s">
        <v>195</v>
      </c>
      <c r="I82" s="16">
        <v>1</v>
      </c>
      <c r="J82">
        <v>2500</v>
      </c>
      <c r="K82">
        <v>1800</v>
      </c>
      <c r="L82">
        <v>300</v>
      </c>
      <c r="M82">
        <v>125</v>
      </c>
    </row>
    <row r="83" spans="2:14" ht="15" thickBot="1" x14ac:dyDescent="0.35">
      <c r="I83" s="16">
        <v>2</v>
      </c>
      <c r="J83">
        <v>3000</v>
      </c>
      <c r="K83">
        <v>2200</v>
      </c>
      <c r="L83">
        <v>315</v>
      </c>
      <c r="M83">
        <v>150</v>
      </c>
    </row>
    <row r="84" spans="2:14" ht="15" thickBot="1" x14ac:dyDescent="0.35">
      <c r="C84" s="7" t="s">
        <v>21</v>
      </c>
      <c r="E84" s="18">
        <v>5</v>
      </c>
      <c r="I84" s="16">
        <v>3</v>
      </c>
      <c r="J84">
        <v>3250</v>
      </c>
      <c r="K84">
        <v>2400</v>
      </c>
      <c r="L84">
        <v>325</v>
      </c>
      <c r="M84">
        <v>162</v>
      </c>
    </row>
    <row r="85" spans="2:14" ht="15" thickBot="1" x14ac:dyDescent="0.35">
      <c r="C85" s="15"/>
      <c r="I85" s="16">
        <v>4</v>
      </c>
      <c r="J85">
        <v>4000</v>
      </c>
      <c r="K85">
        <v>3100</v>
      </c>
      <c r="L85">
        <v>400</v>
      </c>
      <c r="M85">
        <v>200</v>
      </c>
    </row>
    <row r="86" spans="2:14" ht="15" thickBot="1" x14ac:dyDescent="0.35">
      <c r="C86" s="7" t="s">
        <v>19</v>
      </c>
      <c r="E86" s="19">
        <f>VLOOKUP(E84,I82:M91,5)</f>
        <v>225</v>
      </c>
      <c r="I86" s="16">
        <v>5</v>
      </c>
      <c r="J86">
        <v>4500</v>
      </c>
      <c r="K86">
        <v>3300</v>
      </c>
      <c r="L86">
        <v>430</v>
      </c>
      <c r="M86">
        <v>225</v>
      </c>
    </row>
    <row r="87" spans="2:14" x14ac:dyDescent="0.3">
      <c r="I87" s="16">
        <v>6</v>
      </c>
      <c r="J87">
        <v>5200</v>
      </c>
      <c r="K87">
        <v>3900</v>
      </c>
      <c r="L87">
        <v>450</v>
      </c>
      <c r="M87">
        <v>260</v>
      </c>
    </row>
    <row r="88" spans="2:14" x14ac:dyDescent="0.3">
      <c r="I88" s="16">
        <v>7</v>
      </c>
      <c r="J88">
        <v>5900</v>
      </c>
      <c r="K88">
        <v>4400</v>
      </c>
      <c r="L88">
        <v>500</v>
      </c>
      <c r="M88">
        <v>295</v>
      </c>
    </row>
    <row r="89" spans="2:14" x14ac:dyDescent="0.3">
      <c r="I89" s="16">
        <v>8</v>
      </c>
      <c r="J89">
        <v>6500</v>
      </c>
      <c r="K89">
        <v>4800</v>
      </c>
      <c r="L89">
        <v>550</v>
      </c>
      <c r="M89">
        <v>325</v>
      </c>
    </row>
    <row r="90" spans="2:14" x14ac:dyDescent="0.3">
      <c r="I90" s="16">
        <v>9</v>
      </c>
      <c r="J90">
        <v>8000</v>
      </c>
      <c r="K90">
        <v>6000</v>
      </c>
      <c r="L90">
        <v>590</v>
      </c>
      <c r="M90">
        <v>400</v>
      </c>
    </row>
    <row r="91" spans="2:14" x14ac:dyDescent="0.3">
      <c r="I91" s="16">
        <v>10</v>
      </c>
      <c r="J91">
        <v>9250</v>
      </c>
      <c r="K91">
        <v>6900</v>
      </c>
      <c r="L91">
        <v>700</v>
      </c>
      <c r="M91">
        <v>475</v>
      </c>
    </row>
    <row r="93" spans="2:14" x14ac:dyDescent="0.3">
      <c r="B93" s="38" t="s">
        <v>114</v>
      </c>
      <c r="C93" t="s">
        <v>177</v>
      </c>
    </row>
    <row r="94" spans="2:14" x14ac:dyDescent="0.3">
      <c r="C94" t="s">
        <v>245</v>
      </c>
    </row>
    <row r="95" spans="2:14" ht="15" thickBot="1" x14ac:dyDescent="0.35"/>
    <row r="96" spans="2:14" ht="15" thickBot="1" x14ac:dyDescent="0.35">
      <c r="C96" s="61" t="s">
        <v>3</v>
      </c>
      <c r="D96" s="62" t="s">
        <v>17</v>
      </c>
      <c r="F96" s="96"/>
    </row>
    <row r="97" spans="2:4" x14ac:dyDescent="0.3">
      <c r="C97" s="63">
        <v>2011</v>
      </c>
      <c r="D97" s="67">
        <v>2618912</v>
      </c>
    </row>
    <row r="98" spans="2:4" x14ac:dyDescent="0.3">
      <c r="C98" s="63">
        <v>2012</v>
      </c>
      <c r="D98" s="67">
        <v>2845692</v>
      </c>
    </row>
    <row r="99" spans="2:4" x14ac:dyDescent="0.3">
      <c r="C99" s="63">
        <v>2013</v>
      </c>
      <c r="D99" s="67">
        <v>3021256</v>
      </c>
    </row>
    <row r="100" spans="2:4" x14ac:dyDescent="0.3">
      <c r="C100" s="63">
        <v>2014</v>
      </c>
      <c r="D100" s="67">
        <v>2956123</v>
      </c>
    </row>
    <row r="101" spans="2:4" x14ac:dyDescent="0.3">
      <c r="C101" s="76">
        <v>2015</v>
      </c>
      <c r="D101" s="77">
        <v>3181235</v>
      </c>
    </row>
    <row r="102" spans="2:4" x14ac:dyDescent="0.3">
      <c r="C102" s="76">
        <v>2016</v>
      </c>
      <c r="D102" s="77">
        <v>3216548</v>
      </c>
    </row>
    <row r="103" spans="2:4" x14ac:dyDescent="0.3">
      <c r="C103" s="76">
        <v>2017</v>
      </c>
      <c r="D103" s="77">
        <v>3521654</v>
      </c>
    </row>
    <row r="104" spans="2:4" x14ac:dyDescent="0.3">
      <c r="C104" s="76">
        <v>2018</v>
      </c>
      <c r="D104" s="77">
        <v>3642925</v>
      </c>
    </row>
    <row r="105" spans="2:4" x14ac:dyDescent="0.3">
      <c r="C105" s="76">
        <v>2019</v>
      </c>
      <c r="D105" s="77">
        <v>3381955</v>
      </c>
    </row>
    <row r="106" spans="2:4" x14ac:dyDescent="0.3">
      <c r="C106" s="76">
        <v>2020</v>
      </c>
      <c r="D106" s="77">
        <v>3485000</v>
      </c>
    </row>
    <row r="107" spans="2:4" ht="15" thickBot="1" x14ac:dyDescent="0.35">
      <c r="C107" s="64">
        <v>2021</v>
      </c>
      <c r="D107" s="65">
        <f>TREND(D97:D106,C97:C106,C107)</f>
        <v>3733426.1333333552</v>
      </c>
    </row>
    <row r="110" spans="2:4" x14ac:dyDescent="0.3">
      <c r="B110" s="38" t="s">
        <v>115</v>
      </c>
      <c r="C110" t="s">
        <v>212</v>
      </c>
    </row>
    <row r="111" spans="2:4" x14ac:dyDescent="0.3">
      <c r="C111" t="s">
        <v>246</v>
      </c>
    </row>
    <row r="112" spans="2:4" x14ac:dyDescent="0.3">
      <c r="C112" t="s">
        <v>247</v>
      </c>
    </row>
    <row r="113" spans="3:3" x14ac:dyDescent="0.3">
      <c r="C113" t="s">
        <v>248</v>
      </c>
    </row>
    <row r="114" spans="3:3" x14ac:dyDescent="0.3">
      <c r="C114" t="s">
        <v>214</v>
      </c>
    </row>
  </sheetData>
  <mergeCells count="1">
    <mergeCell ref="D34:E3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L73"/>
  <sheetViews>
    <sheetView showGridLines="0" zoomScaleNormal="100" workbookViewId="0"/>
  </sheetViews>
  <sheetFormatPr defaultColWidth="8.6640625" defaultRowHeight="14.4" x14ac:dyDescent="0.3"/>
  <cols>
    <col min="1" max="1" width="6.33203125" style="21" customWidth="1"/>
    <col min="2" max="2" width="4" style="20" customWidth="1"/>
    <col min="3" max="3" width="40.88671875" style="20" customWidth="1"/>
    <col min="4" max="6" width="16.6640625" style="21" customWidth="1"/>
    <col min="7" max="7" width="4.109375" style="21" customWidth="1"/>
    <col min="8" max="9" width="8.6640625" style="21"/>
    <col min="10" max="10" width="10.88671875" style="21" customWidth="1"/>
    <col min="11" max="16384" width="8.6640625" style="21"/>
  </cols>
  <sheetData>
    <row r="24" spans="3:6" ht="15" thickBot="1" x14ac:dyDescent="0.35"/>
    <row r="25" spans="3:6" ht="19.5" customHeight="1" thickBot="1" x14ac:dyDescent="0.35">
      <c r="C25" s="115" t="s">
        <v>57</v>
      </c>
      <c r="D25" s="116"/>
      <c r="E25" s="116"/>
      <c r="F25" s="116"/>
    </row>
    <row r="26" spans="3:6" ht="16.2" customHeight="1" x14ac:dyDescent="0.3">
      <c r="C26" s="34" t="s">
        <v>228</v>
      </c>
      <c r="F26" s="75">
        <v>0.05</v>
      </c>
    </row>
    <row r="27" spans="3:6" x14ac:dyDescent="0.3">
      <c r="C27" s="34" t="s">
        <v>56</v>
      </c>
      <c r="F27" s="75">
        <v>2.1999999999999999E-2</v>
      </c>
    </row>
    <row r="28" spans="3:6" x14ac:dyDescent="0.3">
      <c r="C28" s="34" t="s">
        <v>55</v>
      </c>
      <c r="F28" s="75">
        <v>4.2500000000000003E-2</v>
      </c>
    </row>
    <row r="29" spans="3:6" x14ac:dyDescent="0.3">
      <c r="C29" s="34" t="s">
        <v>249</v>
      </c>
      <c r="F29" s="74">
        <v>0.28000000000000003</v>
      </c>
    </row>
    <row r="30" spans="3:6" x14ac:dyDescent="0.3">
      <c r="C30" s="34" t="s">
        <v>250</v>
      </c>
      <c r="F30" s="73">
        <v>450000</v>
      </c>
    </row>
    <row r="31" spans="3:6" x14ac:dyDescent="0.3">
      <c r="C31" s="34" t="s">
        <v>251</v>
      </c>
      <c r="F31" s="73">
        <v>250000</v>
      </c>
    </row>
    <row r="32" spans="3:6" x14ac:dyDescent="0.3">
      <c r="C32" s="34" t="s">
        <v>252</v>
      </c>
      <c r="F32" s="73">
        <v>50000</v>
      </c>
    </row>
    <row r="33" spans="3:12" ht="7.5" customHeight="1" thickBot="1" x14ac:dyDescent="0.35">
      <c r="C33" s="35"/>
      <c r="D33" s="24"/>
      <c r="E33" s="24"/>
      <c r="F33" s="36"/>
    </row>
    <row r="34" spans="3:12" x14ac:dyDescent="0.3">
      <c r="C34" s="34"/>
      <c r="F34" s="73"/>
    </row>
    <row r="35" spans="3:12" ht="21.6" thickBot="1" x14ac:dyDescent="0.45">
      <c r="C35" s="117" t="s">
        <v>22</v>
      </c>
      <c r="D35" s="117"/>
      <c r="E35" s="117"/>
      <c r="F35" s="117"/>
    </row>
    <row r="36" spans="3:12" ht="19.5" customHeight="1" thickBot="1" x14ac:dyDescent="0.35">
      <c r="C36" s="97"/>
      <c r="D36" s="78">
        <v>2019</v>
      </c>
      <c r="E36" s="78">
        <v>2020</v>
      </c>
      <c r="F36" s="78">
        <v>2021</v>
      </c>
    </row>
    <row r="37" spans="3:12" ht="17.25" customHeight="1" x14ac:dyDescent="0.3">
      <c r="C37" s="30" t="s">
        <v>17</v>
      </c>
      <c r="D37" s="21">
        <v>3845000</v>
      </c>
      <c r="E37" s="21">
        <v>4106900</v>
      </c>
      <c r="F37" s="21">
        <f>E37*(1+F26)</f>
        <v>4312245</v>
      </c>
    </row>
    <row r="38" spans="3:12" ht="17.399999999999999" x14ac:dyDescent="0.55000000000000004">
      <c r="C38" s="33" t="s">
        <v>23</v>
      </c>
      <c r="D38" s="66">
        <v>2450000</v>
      </c>
      <c r="E38" s="66">
        <v>2585000</v>
      </c>
      <c r="F38" s="66">
        <f>$F$37*J38*1.08</f>
        <v>2949466.1664499352</v>
      </c>
      <c r="H38" s="45">
        <f>D38/D$37</f>
        <v>0.63719115734720411</v>
      </c>
      <c r="I38" s="45">
        <f>E38/E$37</f>
        <v>0.62942852273003969</v>
      </c>
      <c r="J38" s="47">
        <f>AVERAGE(H38:I38)</f>
        <v>0.6333098400386219</v>
      </c>
      <c r="L38"/>
    </row>
    <row r="39" spans="3:12" x14ac:dyDescent="0.3">
      <c r="C39" s="31" t="s">
        <v>24</v>
      </c>
      <c r="D39" s="21">
        <f>D37-D38</f>
        <v>1395000</v>
      </c>
      <c r="E39" s="21">
        <f>E37-E38</f>
        <v>1521900</v>
      </c>
      <c r="F39" s="21">
        <f>F37-F38</f>
        <v>1362778.8335500648</v>
      </c>
    </row>
    <row r="40" spans="3:12" x14ac:dyDescent="0.3">
      <c r="C40" s="30" t="s">
        <v>25</v>
      </c>
      <c r="D40" s="21">
        <v>715000</v>
      </c>
      <c r="E40" s="21">
        <v>810500</v>
      </c>
      <c r="F40" s="21">
        <f>$F$37*J40</f>
        <v>826455.9557867361</v>
      </c>
      <c r="G40" s="23"/>
      <c r="H40" s="45">
        <f>D40/D$37</f>
        <v>0.18595578673602081</v>
      </c>
      <c r="I40" s="45">
        <f>E40/E$37</f>
        <v>0.19735079987338383</v>
      </c>
      <c r="J40" s="47">
        <f>AVERAGE(H40:I40)</f>
        <v>0.19165329330470232</v>
      </c>
    </row>
    <row r="41" spans="3:12" x14ac:dyDescent="0.3">
      <c r="C41" s="30" t="s">
        <v>26</v>
      </c>
      <c r="D41" s="21">
        <v>140000</v>
      </c>
      <c r="E41" s="21">
        <v>145000</v>
      </c>
      <c r="F41" s="52">
        <v>145000</v>
      </c>
    </row>
    <row r="42" spans="3:12" ht="17.399999999999999" x14ac:dyDescent="0.55000000000000004">
      <c r="C42" s="33" t="s">
        <v>27</v>
      </c>
      <c r="D42" s="66">
        <v>55000</v>
      </c>
      <c r="E42" s="66">
        <v>52500</v>
      </c>
      <c r="F42" s="66">
        <f>E42+F32</f>
        <v>102500</v>
      </c>
    </row>
    <row r="43" spans="3:12" x14ac:dyDescent="0.3">
      <c r="C43" s="31" t="s">
        <v>28</v>
      </c>
      <c r="D43" s="21">
        <f>D39-D40-D41-D42</f>
        <v>485000</v>
      </c>
      <c r="E43" s="21">
        <f>E39-E40-E41-E42</f>
        <v>513900</v>
      </c>
      <c r="F43" s="21">
        <f>F39-F40-F41-F42</f>
        <v>288822.87776332872</v>
      </c>
    </row>
    <row r="44" spans="3:12" ht="17.399999999999999" x14ac:dyDescent="0.55000000000000004">
      <c r="C44" s="33" t="s">
        <v>29</v>
      </c>
      <c r="D44" s="66">
        <v>15000</v>
      </c>
      <c r="E44" s="66">
        <v>32500</v>
      </c>
      <c r="F44" s="66">
        <f>F27*E61+F28*E64</f>
        <v>16582.330000000002</v>
      </c>
    </row>
    <row r="45" spans="3:12" x14ac:dyDescent="0.3">
      <c r="C45" s="31" t="s">
        <v>30</v>
      </c>
      <c r="D45" s="21">
        <f>D43-D44</f>
        <v>470000</v>
      </c>
      <c r="E45" s="21">
        <f>E43-E44</f>
        <v>481400</v>
      </c>
      <c r="F45" s="21">
        <f>F43-F44</f>
        <v>272240.54776332871</v>
      </c>
    </row>
    <row r="46" spans="3:12" ht="17.399999999999999" x14ac:dyDescent="0.55000000000000004">
      <c r="C46" s="33" t="s">
        <v>31</v>
      </c>
      <c r="D46" s="66">
        <f>D45*0.35</f>
        <v>164500</v>
      </c>
      <c r="E46" s="66">
        <f>E45*0.35</f>
        <v>168490</v>
      </c>
      <c r="F46" s="66">
        <f>F45*F29</f>
        <v>76227.353373732039</v>
      </c>
    </row>
    <row r="47" spans="3:12" ht="15" thickBot="1" x14ac:dyDescent="0.35">
      <c r="C47" s="32" t="s">
        <v>19</v>
      </c>
      <c r="D47" s="24">
        <f>D45-D46</f>
        <v>305500</v>
      </c>
      <c r="E47" s="24">
        <f>E45-E46</f>
        <v>312910</v>
      </c>
      <c r="F47" s="24">
        <f>F45-F46</f>
        <v>196013.19438959667</v>
      </c>
    </row>
    <row r="48" spans="3:12" ht="7.5" customHeight="1" x14ac:dyDescent="0.3">
      <c r="C48" s="15"/>
      <c r="D48"/>
      <c r="E48"/>
      <c r="F48"/>
    </row>
    <row r="49" spans="2:10" ht="21.6" thickBot="1" x14ac:dyDescent="0.45">
      <c r="B49" s="117" t="s">
        <v>32</v>
      </c>
      <c r="C49" s="117"/>
      <c r="D49" s="117"/>
      <c r="E49" s="117"/>
      <c r="F49" s="117"/>
    </row>
    <row r="50" spans="2:10" ht="15" thickBot="1" x14ac:dyDescent="0.35">
      <c r="B50" s="98" t="s">
        <v>33</v>
      </c>
      <c r="C50" s="98"/>
      <c r="D50" s="78">
        <v>2019</v>
      </c>
      <c r="E50" s="78">
        <v>2020</v>
      </c>
      <c r="F50" s="78">
        <v>2021</v>
      </c>
    </row>
    <row r="51" spans="2:10" x14ac:dyDescent="0.3">
      <c r="B51" s="26" t="s">
        <v>34</v>
      </c>
      <c r="D51" s="21">
        <f>96500-52500</f>
        <v>44000</v>
      </c>
      <c r="E51" s="21">
        <f>106513+340347</f>
        <v>446860</v>
      </c>
      <c r="F51" s="52">
        <v>350000</v>
      </c>
    </row>
    <row r="52" spans="2:10" x14ac:dyDescent="0.3">
      <c r="B52" s="26" t="s">
        <v>35</v>
      </c>
      <c r="D52" s="21">
        <f>146000+183150</f>
        <v>329150</v>
      </c>
      <c r="E52" s="21">
        <f>125000+273315</f>
        <v>398315</v>
      </c>
      <c r="F52" s="21">
        <f>$F$37*J52</f>
        <v>393689.55468140444</v>
      </c>
      <c r="H52" s="45">
        <f>D52/D$37</f>
        <v>8.5604681404421332E-2</v>
      </c>
      <c r="I52" s="45">
        <f>E52/E$37</f>
        <v>9.6986778348632785E-2</v>
      </c>
      <c r="J52" s="47">
        <f>AVERAGE(H52:I52)</f>
        <v>9.1295729876527065E-2</v>
      </c>
    </row>
    <row r="53" spans="2:10" ht="16.2" x14ac:dyDescent="0.45">
      <c r="B53" s="26" t="s">
        <v>36</v>
      </c>
      <c r="D53" s="66">
        <v>485000</v>
      </c>
      <c r="E53" s="66">
        <v>326000</v>
      </c>
      <c r="F53" s="66">
        <f>$F$37*J53</f>
        <v>443118.63784135238</v>
      </c>
      <c r="H53" s="45">
        <f>D53/D$37</f>
        <v>0.12613784135240572</v>
      </c>
      <c r="I53" s="45">
        <f>E53/E$37</f>
        <v>7.9378606735006935E-2</v>
      </c>
      <c r="J53" s="47">
        <f>AVERAGE(H53:I53)</f>
        <v>0.10275822404370633</v>
      </c>
    </row>
    <row r="54" spans="2:10" x14ac:dyDescent="0.3">
      <c r="B54" s="27" t="s">
        <v>37</v>
      </c>
      <c r="D54" s="21">
        <f>D51+D52+D53</f>
        <v>858150</v>
      </c>
      <c r="E54" s="21">
        <f>E51+E52+E53</f>
        <v>1171175</v>
      </c>
      <c r="F54" s="21">
        <f>SUM(F51:F53)</f>
        <v>1186808.1925227568</v>
      </c>
    </row>
    <row r="55" spans="2:10" x14ac:dyDescent="0.3">
      <c r="B55" s="26" t="s">
        <v>38</v>
      </c>
      <c r="D55" s="21">
        <v>795000</v>
      </c>
      <c r="E55" s="21">
        <v>795000</v>
      </c>
      <c r="F55" s="21">
        <f>E55+F31</f>
        <v>1045000</v>
      </c>
    </row>
    <row r="56" spans="2:10" ht="16.2" x14ac:dyDescent="0.45">
      <c r="B56" s="26" t="s">
        <v>39</v>
      </c>
      <c r="D56" s="66">
        <v>256500</v>
      </c>
      <c r="E56" s="66">
        <f>D56+E42</f>
        <v>309000</v>
      </c>
      <c r="F56" s="66">
        <f>E56+F42</f>
        <v>411500</v>
      </c>
    </row>
    <row r="57" spans="2:10" ht="16.2" x14ac:dyDescent="0.45">
      <c r="B57" s="27" t="s">
        <v>40</v>
      </c>
      <c r="D57" s="66">
        <f>D55-D56</f>
        <v>538500</v>
      </c>
      <c r="E57" s="66">
        <f>E55-E56</f>
        <v>486000</v>
      </c>
      <c r="F57" s="66">
        <f>F55-F56</f>
        <v>633500</v>
      </c>
    </row>
    <row r="58" spans="2:10" ht="15" thickBot="1" x14ac:dyDescent="0.35">
      <c r="B58" s="27" t="s">
        <v>41</v>
      </c>
      <c r="D58" s="21">
        <f>D54+D57</f>
        <v>1396650</v>
      </c>
      <c r="E58" s="21">
        <f>E54+E57</f>
        <v>1657175</v>
      </c>
      <c r="F58" s="21">
        <f>F54+F57</f>
        <v>1820308.1925227568</v>
      </c>
    </row>
    <row r="59" spans="2:10" ht="16.2" customHeight="1" x14ac:dyDescent="0.3">
      <c r="B59" s="25" t="s">
        <v>42</v>
      </c>
      <c r="C59" s="25"/>
      <c r="D59" s="22"/>
      <c r="E59" s="22"/>
      <c r="F59" s="22"/>
    </row>
    <row r="60" spans="2:10" x14ac:dyDescent="0.3">
      <c r="B60" s="26" t="s">
        <v>43</v>
      </c>
      <c r="D60" s="21">
        <v>246000</v>
      </c>
      <c r="E60" s="21">
        <v>195000</v>
      </c>
      <c r="F60" s="21">
        <f>$F$37*J60</f>
        <v>240321.97919375816</v>
      </c>
      <c r="H60" s="45">
        <f>D60/D$37</f>
        <v>6.3979193758127439E-2</v>
      </c>
      <c r="I60" s="45">
        <f>E60/E$37</f>
        <v>4.748106844578636E-2</v>
      </c>
      <c r="J60" s="47">
        <f>AVERAGE(H60:I60)</f>
        <v>5.5730131101956903E-2</v>
      </c>
    </row>
    <row r="61" spans="2:10" x14ac:dyDescent="0.3">
      <c r="B61" s="26" t="s">
        <v>44</v>
      </c>
      <c r="D61" s="21">
        <v>85650</v>
      </c>
      <c r="E61" s="21">
        <v>87265</v>
      </c>
      <c r="F61" s="52">
        <v>92500</v>
      </c>
    </row>
    <row r="62" spans="2:10" ht="16.2" x14ac:dyDescent="0.45">
      <c r="B62" s="26" t="s">
        <v>45</v>
      </c>
      <c r="D62" s="66">
        <v>45000</v>
      </c>
      <c r="E62" s="66">
        <v>62000</v>
      </c>
      <c r="F62" s="50">
        <v>56500</v>
      </c>
    </row>
    <row r="63" spans="2:10" x14ac:dyDescent="0.3">
      <c r="B63" s="27" t="s">
        <v>46</v>
      </c>
      <c r="D63" s="21">
        <f>D60+D61+D62</f>
        <v>376650</v>
      </c>
      <c r="E63" s="21">
        <f>E60+E61+E62</f>
        <v>344265</v>
      </c>
      <c r="F63" s="21">
        <f>SUM(F60:F62)</f>
        <v>389321.97919375816</v>
      </c>
    </row>
    <row r="64" spans="2:10" ht="16.2" x14ac:dyDescent="0.45">
      <c r="B64" s="26" t="s">
        <v>47</v>
      </c>
      <c r="D64" s="66">
        <v>325000</v>
      </c>
      <c r="E64" s="66">
        <v>345000</v>
      </c>
      <c r="F64" s="50">
        <v>595000</v>
      </c>
    </row>
    <row r="65" spans="2:6" x14ac:dyDescent="0.3">
      <c r="B65" s="27" t="s">
        <v>48</v>
      </c>
      <c r="D65" s="21">
        <f>D63+D64</f>
        <v>701650</v>
      </c>
      <c r="E65" s="21">
        <f>E63+E64</f>
        <v>689265</v>
      </c>
      <c r="F65" s="21">
        <f>F63+F64</f>
        <v>984321.97919375822</v>
      </c>
    </row>
    <row r="66" spans="2:6" x14ac:dyDescent="0.3">
      <c r="B66" s="26" t="s">
        <v>49</v>
      </c>
      <c r="D66" s="21">
        <v>350000</v>
      </c>
      <c r="E66" s="21">
        <v>350000</v>
      </c>
      <c r="F66" s="52">
        <v>350000</v>
      </c>
    </row>
    <row r="67" spans="2:6" ht="16.2" x14ac:dyDescent="0.45">
      <c r="B67" s="26" t="s">
        <v>50</v>
      </c>
      <c r="D67" s="66">
        <v>345000</v>
      </c>
      <c r="E67" s="66">
        <f>D67+E47-40000</f>
        <v>617910</v>
      </c>
      <c r="F67" s="66">
        <f>E67+F47-F30</f>
        <v>363923.1943895967</v>
      </c>
    </row>
    <row r="68" spans="2:6" ht="16.2" x14ac:dyDescent="0.45">
      <c r="B68" s="27" t="s">
        <v>51</v>
      </c>
      <c r="D68" s="66">
        <f>D66+D67</f>
        <v>695000</v>
      </c>
      <c r="E68" s="66">
        <f>E66+E67</f>
        <v>967910</v>
      </c>
      <c r="F68" s="66">
        <f>F66+F67</f>
        <v>713923.1943895967</v>
      </c>
    </row>
    <row r="69" spans="2:6" ht="15" thickBot="1" x14ac:dyDescent="0.35">
      <c r="B69" s="28" t="s">
        <v>52</v>
      </c>
      <c r="C69" s="29"/>
      <c r="D69" s="24">
        <f>D65+D68</f>
        <v>1396650</v>
      </c>
      <c r="E69" s="24">
        <f>E65+E68</f>
        <v>1657175</v>
      </c>
      <c r="F69" s="24">
        <f>F65+F68</f>
        <v>1698245.1735833548</v>
      </c>
    </row>
    <row r="70" spans="2:6" ht="6" customHeight="1" x14ac:dyDescent="0.3"/>
    <row r="71" spans="2:6" ht="4.5" customHeight="1" thickBot="1" x14ac:dyDescent="0.35"/>
    <row r="72" spans="2:6" ht="15" thickBot="1" x14ac:dyDescent="0.35">
      <c r="C72" s="20" t="s">
        <v>253</v>
      </c>
      <c r="D72" s="21">
        <f>D58-D69</f>
        <v>0</v>
      </c>
      <c r="E72" s="21">
        <f>E58-E69</f>
        <v>0</v>
      </c>
      <c r="F72" s="19">
        <f>F69-F58</f>
        <v>-122063.01893940195</v>
      </c>
    </row>
    <row r="73" spans="2:6" ht="10.5" customHeight="1" thickBot="1" x14ac:dyDescent="0.35">
      <c r="B73" s="29"/>
      <c r="C73" s="29"/>
      <c r="D73" s="24"/>
      <c r="E73" s="24"/>
      <c r="F73" s="24"/>
    </row>
  </sheetData>
  <mergeCells count="3">
    <mergeCell ref="C25:F25"/>
    <mergeCell ref="C35:F35"/>
    <mergeCell ref="B49:F4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4"/>
  <sheetViews>
    <sheetView showGridLines="0" topLeftCell="A73" workbookViewId="0">
      <selection activeCell="E105" sqref="E105"/>
    </sheetView>
  </sheetViews>
  <sheetFormatPr defaultColWidth="9.109375" defaultRowHeight="14.4" x14ac:dyDescent="0.3"/>
  <cols>
    <col min="1" max="1" width="3" customWidth="1"/>
    <col min="2" max="2" width="13" customWidth="1"/>
    <col min="3" max="3" width="3.6640625" customWidth="1"/>
    <col min="4" max="4" width="3.33203125" customWidth="1"/>
    <col min="5" max="5" width="88" customWidth="1"/>
    <col min="6" max="6" width="11.44140625" bestFit="1" customWidth="1"/>
    <col min="7" max="7" width="12.109375" bestFit="1" customWidth="1"/>
    <col min="12" max="12" width="9.44140625" bestFit="1" customWidth="1"/>
    <col min="13" max="13" width="17.88671875" customWidth="1"/>
    <col min="14" max="14" width="10.6640625" customWidth="1"/>
  </cols>
  <sheetData>
    <row r="2" spans="2:13" ht="18" x14ac:dyDescent="0.3">
      <c r="B2" s="16"/>
      <c r="E2" s="101" t="s">
        <v>254</v>
      </c>
    </row>
    <row r="3" spans="2:13" x14ac:dyDescent="0.3">
      <c r="B3" s="16"/>
      <c r="E3" s="102" t="s">
        <v>255</v>
      </c>
    </row>
    <row r="4" spans="2:13" x14ac:dyDescent="0.3">
      <c r="B4" s="16"/>
    </row>
    <row r="5" spans="2:13" x14ac:dyDescent="0.3">
      <c r="B5" s="16"/>
      <c r="E5" s="15" t="s">
        <v>307</v>
      </c>
    </row>
    <row r="6" spans="2:13" x14ac:dyDescent="0.3">
      <c r="E6" s="15"/>
    </row>
    <row r="7" spans="2:13" ht="15" thickBot="1" x14ac:dyDescent="0.35"/>
    <row r="8" spans="2:13" ht="15" thickBot="1" x14ac:dyDescent="0.35">
      <c r="B8" s="103" t="b">
        <v>1</v>
      </c>
      <c r="C8" s="104" t="s">
        <v>0</v>
      </c>
      <c r="D8" s="104"/>
      <c r="E8" s="118" t="s">
        <v>256</v>
      </c>
      <c r="L8" s="4"/>
      <c r="M8" s="4"/>
    </row>
    <row r="9" spans="2:13" ht="30.6" customHeight="1" x14ac:dyDescent="0.3">
      <c r="E9" s="118"/>
      <c r="L9" s="4"/>
      <c r="M9" s="4"/>
    </row>
    <row r="10" spans="2:13" ht="15" thickBot="1" x14ac:dyDescent="0.35">
      <c r="L10" s="4"/>
      <c r="M10" s="4"/>
    </row>
    <row r="11" spans="2:13" ht="18" customHeight="1" thickBot="1" x14ac:dyDescent="0.35">
      <c r="B11" s="103" t="b">
        <v>0</v>
      </c>
      <c r="C11" s="104" t="s">
        <v>1</v>
      </c>
      <c r="D11" s="104"/>
      <c r="E11" s="118" t="s">
        <v>257</v>
      </c>
      <c r="L11" s="4"/>
      <c r="M11" s="4"/>
    </row>
    <row r="12" spans="2:13" ht="18" customHeight="1" x14ac:dyDescent="0.3">
      <c r="E12" s="118"/>
      <c r="L12" s="4"/>
      <c r="M12" s="4"/>
    </row>
    <row r="13" spans="2:13" ht="15" thickBot="1" x14ac:dyDescent="0.35">
      <c r="L13" s="4"/>
      <c r="M13" s="4"/>
    </row>
    <row r="14" spans="2:13" ht="18" customHeight="1" thickBot="1" x14ac:dyDescent="0.35">
      <c r="B14" s="103" t="b">
        <v>1</v>
      </c>
      <c r="C14" s="104" t="s">
        <v>6</v>
      </c>
      <c r="D14" s="104"/>
      <c r="E14" s="118" t="s">
        <v>258</v>
      </c>
      <c r="L14" s="4"/>
      <c r="M14" s="4"/>
    </row>
    <row r="15" spans="2:13" x14ac:dyDescent="0.3">
      <c r="E15" s="118"/>
      <c r="L15" s="4"/>
      <c r="M15" s="4"/>
    </row>
    <row r="16" spans="2:13" ht="15" thickBot="1" x14ac:dyDescent="0.35">
      <c r="L16" s="4"/>
      <c r="M16" s="4"/>
    </row>
    <row r="17" spans="2:13" ht="15" customHeight="1" thickBot="1" x14ac:dyDescent="0.35">
      <c r="B17" s="103" t="b">
        <v>0</v>
      </c>
      <c r="C17" s="104" t="s">
        <v>7</v>
      </c>
      <c r="D17" s="104"/>
      <c r="E17" s="118" t="s">
        <v>259</v>
      </c>
      <c r="L17" s="4"/>
      <c r="M17" s="4"/>
    </row>
    <row r="18" spans="2:13" ht="25.95" customHeight="1" thickBot="1" x14ac:dyDescent="0.35">
      <c r="E18" s="118"/>
      <c r="L18" s="4"/>
      <c r="M18" s="4"/>
    </row>
    <row r="19" spans="2:13" ht="16.5" customHeight="1" thickBot="1" x14ac:dyDescent="0.35">
      <c r="B19" s="103" t="b">
        <v>0</v>
      </c>
      <c r="C19" s="104" t="s">
        <v>114</v>
      </c>
      <c r="D19" s="104"/>
      <c r="E19" s="118" t="s">
        <v>260</v>
      </c>
    </row>
    <row r="20" spans="2:13" ht="16.5" customHeight="1" x14ac:dyDescent="0.3">
      <c r="E20" s="118"/>
    </row>
    <row r="21" spans="2:13" ht="15" thickBot="1" x14ac:dyDescent="0.35"/>
    <row r="22" spans="2:13" ht="15" thickBot="1" x14ac:dyDescent="0.35">
      <c r="B22" s="103" t="s">
        <v>261</v>
      </c>
      <c r="C22" s="104" t="s">
        <v>115</v>
      </c>
      <c r="D22" s="104"/>
      <c r="E22" s="118" t="s">
        <v>262</v>
      </c>
    </row>
    <row r="23" spans="2:13" x14ac:dyDescent="0.3">
      <c r="E23" s="118"/>
    </row>
    <row r="24" spans="2:13" x14ac:dyDescent="0.3">
      <c r="D24" t="s">
        <v>263</v>
      </c>
      <c r="E24" t="s">
        <v>264</v>
      </c>
    </row>
    <row r="25" spans="2:13" x14ac:dyDescent="0.3">
      <c r="D25" t="s">
        <v>265</v>
      </c>
      <c r="E25" t="s">
        <v>266</v>
      </c>
    </row>
    <row r="26" spans="2:13" x14ac:dyDescent="0.3">
      <c r="D26" t="s">
        <v>267</v>
      </c>
      <c r="E26" t="s">
        <v>268</v>
      </c>
    </row>
    <row r="27" spans="2:13" x14ac:dyDescent="0.3">
      <c r="D27" t="s">
        <v>269</v>
      </c>
      <c r="E27" t="s">
        <v>270</v>
      </c>
    </row>
    <row r="28" spans="2:13" x14ac:dyDescent="0.3">
      <c r="D28" t="s">
        <v>271</v>
      </c>
      <c r="E28" t="s">
        <v>272</v>
      </c>
    </row>
    <row r="29" spans="2:13" ht="15" thickBot="1" x14ac:dyDescent="0.35"/>
    <row r="30" spans="2:13" ht="18.75" customHeight="1" thickBot="1" x14ac:dyDescent="0.35">
      <c r="B30" s="103" t="b">
        <v>1</v>
      </c>
      <c r="C30" s="104" t="s">
        <v>273</v>
      </c>
      <c r="D30" s="104"/>
      <c r="E30" s="118" t="s">
        <v>274</v>
      </c>
    </row>
    <row r="31" spans="2:13" ht="23.4" customHeight="1" x14ac:dyDescent="0.3">
      <c r="E31" s="118"/>
    </row>
    <row r="32" spans="2:13" ht="15" thickBot="1" x14ac:dyDescent="0.35"/>
    <row r="33" spans="2:5" ht="15" thickBot="1" x14ac:dyDescent="0.35">
      <c r="B33" s="103" t="s">
        <v>275</v>
      </c>
      <c r="C33" s="104" t="s">
        <v>276</v>
      </c>
      <c r="D33" s="104"/>
      <c r="E33" s="118" t="s">
        <v>277</v>
      </c>
    </row>
    <row r="34" spans="2:5" ht="44.25" customHeight="1" x14ac:dyDescent="0.3">
      <c r="E34" s="118"/>
    </row>
    <row r="35" spans="2:5" x14ac:dyDescent="0.3">
      <c r="D35" t="s">
        <v>263</v>
      </c>
      <c r="E35" t="s">
        <v>278</v>
      </c>
    </row>
    <row r="36" spans="2:5" x14ac:dyDescent="0.3">
      <c r="D36" t="s">
        <v>265</v>
      </c>
      <c r="E36" t="s">
        <v>279</v>
      </c>
    </row>
    <row r="37" spans="2:5" x14ac:dyDescent="0.3">
      <c r="D37" t="s">
        <v>267</v>
      </c>
      <c r="E37" t="s">
        <v>280</v>
      </c>
    </row>
    <row r="38" spans="2:5" x14ac:dyDescent="0.3">
      <c r="D38" t="s">
        <v>269</v>
      </c>
      <c r="E38" t="s">
        <v>23</v>
      </c>
    </row>
    <row r="39" spans="2:5" x14ac:dyDescent="0.3">
      <c r="D39" t="s">
        <v>271</v>
      </c>
      <c r="E39" t="s">
        <v>281</v>
      </c>
    </row>
    <row r="40" spans="2:5" ht="15" thickBot="1" x14ac:dyDescent="0.35"/>
    <row r="41" spans="2:5" ht="20.25" customHeight="1" thickBot="1" x14ac:dyDescent="0.35">
      <c r="B41" s="103" t="b">
        <v>1</v>
      </c>
      <c r="C41" s="104" t="s">
        <v>282</v>
      </c>
      <c r="D41" s="104"/>
      <c r="E41" s="105" t="s">
        <v>283</v>
      </c>
    </row>
    <row r="42" spans="2:5" ht="41.25" customHeight="1" x14ac:dyDescent="0.3">
      <c r="E42" s="105" t="s">
        <v>284</v>
      </c>
    </row>
    <row r="43" spans="2:5" ht="15" thickBot="1" x14ac:dyDescent="0.35">
      <c r="E43" s="106"/>
    </row>
    <row r="44" spans="2:5" ht="15" thickBot="1" x14ac:dyDescent="0.35">
      <c r="B44" s="103" t="s">
        <v>261</v>
      </c>
      <c r="C44" s="104" t="s">
        <v>285</v>
      </c>
      <c r="E44" s="106" t="s">
        <v>286</v>
      </c>
    </row>
    <row r="45" spans="2:5" x14ac:dyDescent="0.3">
      <c r="E45" s="106"/>
    </row>
    <row r="46" spans="2:5" x14ac:dyDescent="0.3">
      <c r="D46" t="s">
        <v>263</v>
      </c>
      <c r="E46" s="106" t="s">
        <v>287</v>
      </c>
    </row>
    <row r="47" spans="2:5" x14ac:dyDescent="0.3">
      <c r="D47" t="s">
        <v>265</v>
      </c>
      <c r="E47" s="106" t="s">
        <v>288</v>
      </c>
    </row>
    <row r="48" spans="2:5" x14ac:dyDescent="0.3">
      <c r="D48" t="s">
        <v>267</v>
      </c>
      <c r="E48" s="106" t="s">
        <v>289</v>
      </c>
    </row>
    <row r="49" spans="2:5" x14ac:dyDescent="0.3">
      <c r="D49" t="s">
        <v>269</v>
      </c>
      <c r="E49" s="106" t="s">
        <v>290</v>
      </c>
    </row>
    <row r="50" spans="2:5" x14ac:dyDescent="0.3">
      <c r="D50" t="s">
        <v>271</v>
      </c>
      <c r="E50" s="106" t="s">
        <v>291</v>
      </c>
    </row>
    <row r="51" spans="2:5" ht="15" thickBot="1" x14ac:dyDescent="0.35">
      <c r="E51" s="106"/>
    </row>
    <row r="52" spans="2:5" ht="15" thickBot="1" x14ac:dyDescent="0.35">
      <c r="B52" s="103" t="s">
        <v>292</v>
      </c>
      <c r="C52" s="104" t="s">
        <v>293</v>
      </c>
      <c r="E52" s="106" t="s">
        <v>294</v>
      </c>
    </row>
    <row r="53" spans="2:5" x14ac:dyDescent="0.3">
      <c r="E53" s="106"/>
    </row>
    <row r="54" spans="2:5" x14ac:dyDescent="0.3">
      <c r="D54" t="s">
        <v>263</v>
      </c>
      <c r="E54" s="106" t="s">
        <v>287</v>
      </c>
    </row>
    <row r="55" spans="2:5" x14ac:dyDescent="0.3">
      <c r="D55" t="s">
        <v>265</v>
      </c>
      <c r="E55" s="106" t="s">
        <v>295</v>
      </c>
    </row>
    <row r="56" spans="2:5" x14ac:dyDescent="0.3">
      <c r="D56" t="s">
        <v>267</v>
      </c>
      <c r="E56" s="106" t="s">
        <v>296</v>
      </c>
    </row>
    <row r="57" spans="2:5" x14ac:dyDescent="0.3">
      <c r="D57" t="s">
        <v>269</v>
      </c>
      <c r="E57" s="106" t="s">
        <v>290</v>
      </c>
    </row>
    <row r="58" spans="2:5" x14ac:dyDescent="0.3">
      <c r="D58" t="s">
        <v>271</v>
      </c>
      <c r="E58" s="106" t="s">
        <v>297</v>
      </c>
    </row>
    <row r="59" spans="2:5" ht="15" thickBot="1" x14ac:dyDescent="0.35">
      <c r="E59" s="106"/>
    </row>
    <row r="60" spans="2:5" ht="15" thickBot="1" x14ac:dyDescent="0.35">
      <c r="B60" s="103" t="b">
        <v>1</v>
      </c>
      <c r="C60" s="104" t="s">
        <v>298</v>
      </c>
      <c r="D60" s="104"/>
      <c r="E60" s="118" t="s">
        <v>299</v>
      </c>
    </row>
    <row r="61" spans="2:5" ht="18" customHeight="1" x14ac:dyDescent="0.3">
      <c r="E61" s="118"/>
    </row>
    <row r="62" spans="2:5" ht="15" thickBot="1" x14ac:dyDescent="0.35">
      <c r="E62" s="106"/>
    </row>
    <row r="63" spans="2:5" ht="15" thickBot="1" x14ac:dyDescent="0.35">
      <c r="B63" s="103" t="b">
        <v>0</v>
      </c>
      <c r="C63" s="104" t="s">
        <v>300</v>
      </c>
      <c r="D63" s="104"/>
      <c r="E63" s="118" t="s">
        <v>301</v>
      </c>
    </row>
    <row r="64" spans="2:5" x14ac:dyDescent="0.3">
      <c r="E64" s="118"/>
    </row>
    <row r="65" spans="1:8" ht="15" thickBot="1" x14ac:dyDescent="0.35">
      <c r="E65" s="106"/>
    </row>
    <row r="66" spans="1:8" ht="15" thickBot="1" x14ac:dyDescent="0.35">
      <c r="B66" s="103" t="b">
        <v>1</v>
      </c>
      <c r="C66" s="104" t="s">
        <v>302</v>
      </c>
      <c r="D66" s="104"/>
      <c r="E66" s="118" t="s">
        <v>303</v>
      </c>
    </row>
    <row r="67" spans="1:8" x14ac:dyDescent="0.3">
      <c r="E67" s="118"/>
    </row>
    <row r="68" spans="1:8" ht="15" thickBot="1" x14ac:dyDescent="0.35">
      <c r="E68" s="106"/>
    </row>
    <row r="69" spans="1:8" ht="15" thickBot="1" x14ac:dyDescent="0.35">
      <c r="B69" s="103" t="b">
        <v>1</v>
      </c>
      <c r="C69" s="104" t="s">
        <v>304</v>
      </c>
      <c r="D69" s="104"/>
      <c r="E69" s="118" t="s">
        <v>305</v>
      </c>
    </row>
    <row r="70" spans="1:8" x14ac:dyDescent="0.3">
      <c r="E70" s="118"/>
    </row>
    <row r="71" spans="1:8" x14ac:dyDescent="0.3">
      <c r="E71" s="106"/>
    </row>
    <row r="72" spans="1:8" x14ac:dyDescent="0.3">
      <c r="E72" s="106"/>
    </row>
    <row r="73" spans="1:8" x14ac:dyDescent="0.3">
      <c r="E73" s="106"/>
    </row>
    <row r="74" spans="1:8" x14ac:dyDescent="0.3">
      <c r="E74" s="106"/>
    </row>
    <row r="75" spans="1:8" x14ac:dyDescent="0.3">
      <c r="E75" s="106"/>
    </row>
    <row r="76" spans="1:8" x14ac:dyDescent="0.3">
      <c r="E76" s="106"/>
    </row>
    <row r="77" spans="1:8" ht="15" thickBot="1" x14ac:dyDescent="0.35"/>
    <row r="78" spans="1:8" ht="15" thickBot="1" x14ac:dyDescent="0.35">
      <c r="A78" s="119" t="s">
        <v>306</v>
      </c>
      <c r="B78" s="120"/>
      <c r="C78" s="120"/>
      <c r="D78" s="120"/>
      <c r="E78" s="120"/>
      <c r="F78" s="120"/>
      <c r="G78" s="120"/>
      <c r="H78" s="121"/>
    </row>
    <row r="80" spans="1:8" x14ac:dyDescent="0.3">
      <c r="A80">
        <v>1</v>
      </c>
      <c r="B80" s="12" t="b">
        <f>B8</f>
        <v>1</v>
      </c>
    </row>
    <row r="81" spans="1:2" x14ac:dyDescent="0.3">
      <c r="A81">
        <v>2</v>
      </c>
      <c r="B81" s="12" t="b">
        <f>B11</f>
        <v>0</v>
      </c>
    </row>
    <row r="82" spans="1:2" x14ac:dyDescent="0.3">
      <c r="A82">
        <v>3</v>
      </c>
      <c r="B82" s="12" t="b">
        <f>B14</f>
        <v>1</v>
      </c>
    </row>
    <row r="83" spans="1:2" x14ac:dyDescent="0.3">
      <c r="A83">
        <v>4</v>
      </c>
      <c r="B83" s="12" t="b">
        <f>B17</f>
        <v>0</v>
      </c>
    </row>
    <row r="84" spans="1:2" ht="15" thickBot="1" x14ac:dyDescent="0.35">
      <c r="A84" s="8">
        <v>5</v>
      </c>
      <c r="B84" s="59" t="b">
        <f>B19</f>
        <v>0</v>
      </c>
    </row>
    <row r="85" spans="1:2" x14ac:dyDescent="0.3">
      <c r="A85">
        <v>6</v>
      </c>
      <c r="B85" s="12" t="str">
        <f>B22</f>
        <v>B</v>
      </c>
    </row>
    <row r="86" spans="1:2" x14ac:dyDescent="0.3">
      <c r="A86">
        <v>7</v>
      </c>
      <c r="B86" s="12" t="b">
        <f>B30</f>
        <v>1</v>
      </c>
    </row>
    <row r="87" spans="1:2" x14ac:dyDescent="0.3">
      <c r="A87">
        <v>8</v>
      </c>
      <c r="B87" s="12" t="str">
        <f>B33</f>
        <v>C</v>
      </c>
    </row>
    <row r="88" spans="1:2" x14ac:dyDescent="0.3">
      <c r="A88">
        <v>9</v>
      </c>
      <c r="B88" s="12" t="b">
        <f>B41</f>
        <v>1</v>
      </c>
    </row>
    <row r="89" spans="1:2" ht="15" thickBot="1" x14ac:dyDescent="0.35">
      <c r="A89" s="8">
        <v>10</v>
      </c>
      <c r="B89" s="59" t="str">
        <f>B44</f>
        <v>B</v>
      </c>
    </row>
    <row r="90" spans="1:2" x14ac:dyDescent="0.3">
      <c r="A90">
        <v>11</v>
      </c>
      <c r="B90" s="12" t="str">
        <f>B52</f>
        <v>A</v>
      </c>
    </row>
    <row r="91" spans="1:2" x14ac:dyDescent="0.3">
      <c r="A91">
        <v>12</v>
      </c>
      <c r="B91" s="12" t="b">
        <f>B60</f>
        <v>1</v>
      </c>
    </row>
    <row r="92" spans="1:2" x14ac:dyDescent="0.3">
      <c r="A92">
        <v>13</v>
      </c>
      <c r="B92" s="12" t="b">
        <f>B63</f>
        <v>0</v>
      </c>
    </row>
    <row r="93" spans="1:2" x14ac:dyDescent="0.3">
      <c r="A93">
        <v>14</v>
      </c>
      <c r="B93" s="12" t="b">
        <f>B66</f>
        <v>1</v>
      </c>
    </row>
    <row r="94" spans="1:2" x14ac:dyDescent="0.3">
      <c r="A94">
        <v>15</v>
      </c>
      <c r="B94" s="12" t="b">
        <f>B69</f>
        <v>1</v>
      </c>
    </row>
  </sheetData>
  <mergeCells count="13">
    <mergeCell ref="A78:H78"/>
    <mergeCell ref="E30:E31"/>
    <mergeCell ref="E33:E34"/>
    <mergeCell ref="E60:E61"/>
    <mergeCell ref="E63:E64"/>
    <mergeCell ref="E66:E67"/>
    <mergeCell ref="E69:E70"/>
    <mergeCell ref="E22:E23"/>
    <mergeCell ref="E8:E9"/>
    <mergeCell ref="E11:E12"/>
    <mergeCell ref="E14:E15"/>
    <mergeCell ref="E17:E18"/>
    <mergeCell ref="E19:E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vt:lpstr>
      <vt:lpstr>P1 - 20 Pts</vt:lpstr>
      <vt:lpstr>P2 - 5 Pts</vt:lpstr>
      <vt:lpstr>P3 - 10 Pts</vt:lpstr>
      <vt:lpstr>P4 - 5Pts</vt:lpstr>
      <vt:lpstr>P5 - 20 Pts</vt:lpstr>
      <vt:lpstr>P6 - 20 Pts</vt:lpstr>
      <vt:lpstr>MC-TF 20 Pts</vt:lpstr>
      <vt:lpstr>'P5 - 20 Pts'!OLE_LINK1</vt:lpstr>
      <vt:lpstr>Periods</vt:lpstr>
      <vt:lpstr>Rate</vt:lpstr>
      <vt:lpstr>Term</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Veta</cp:lastModifiedBy>
  <cp:lastPrinted>2010-04-05T16:12:33Z</cp:lastPrinted>
  <dcterms:created xsi:type="dcterms:W3CDTF">2010-01-13T00:10:02Z</dcterms:created>
  <dcterms:modified xsi:type="dcterms:W3CDTF">2021-03-15T17:40:20Z</dcterms:modified>
</cp:coreProperties>
</file>