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pring 2015\Exam 2\"/>
    </mc:Choice>
  </mc:AlternateContent>
  <bookViews>
    <workbookView xWindow="6420" yWindow="96" windowWidth="20136" windowHeight="7980" tabRatio="681" activeTab="1"/>
  </bookViews>
  <sheets>
    <sheet name="Instructions" sheetId="18" r:id="rId1"/>
    <sheet name="P1 - 25 Pts" sheetId="2" r:id="rId2"/>
    <sheet name="P2 - 5 Pts" sheetId="10" r:id="rId3"/>
    <sheet name="P3 - 5 Pts" sheetId="19" r:id="rId4"/>
    <sheet name="P4 - 10 Pts" sheetId="14" r:id="rId5"/>
    <sheet name="P5 - 15 Pts" sheetId="1" r:id="rId6"/>
    <sheet name="P6 - 20 Pts" sheetId="16" r:id="rId7"/>
    <sheet name="MC-TF - 20 Pts" sheetId="13" r:id="rId8"/>
    <sheet name="Sheet1" sheetId="17" r:id="rId9"/>
  </sheets>
  <definedNames>
    <definedName name="OLE_LINK1" localSheetId="5">'P5 - 15 Pts'!#REF!</definedName>
    <definedName name="Periods">'P1 - 25 Pts'!$O$21</definedName>
    <definedName name="Rate">'P1 - 25 Pts'!$F$23</definedName>
    <definedName name="Term">'P1 - 25 Pts'!$F$22</definedName>
  </definedNames>
  <calcPr calcId="152511"/>
</workbook>
</file>

<file path=xl/calcChain.xml><?xml version="1.0" encoding="utf-8"?>
<calcChain xmlns="http://schemas.openxmlformats.org/spreadsheetml/2006/main">
  <c r="I7" i="17" l="1"/>
  <c r="E51" i="16" l="1"/>
  <c r="E56" i="16"/>
  <c r="E80" i="1"/>
  <c r="E64" i="1"/>
  <c r="E63" i="1"/>
  <c r="E20" i="1"/>
  <c r="E21" i="1" s="1"/>
  <c r="G28" i="19"/>
  <c r="G30" i="19" s="1"/>
  <c r="G32" i="19" s="1"/>
  <c r="G26" i="19"/>
  <c r="G35" i="19" l="1"/>
  <c r="G43" i="19" s="1"/>
  <c r="I6" i="17" l="1"/>
  <c r="I5" i="17"/>
  <c r="I4" i="17"/>
  <c r="F8" i="17"/>
  <c r="F7" i="17"/>
  <c r="F6" i="17"/>
  <c r="F5" i="17"/>
  <c r="F4" i="17"/>
  <c r="C8" i="17"/>
  <c r="C7" i="17"/>
  <c r="C6" i="17"/>
  <c r="C5" i="17"/>
  <c r="C4" i="17"/>
  <c r="D68" i="16" l="1"/>
  <c r="E63" i="16"/>
  <c r="E65" i="16" s="1"/>
  <c r="D63" i="16"/>
  <c r="D65" i="16" s="1"/>
  <c r="I60" i="16"/>
  <c r="J60" i="16" s="1"/>
  <c r="H60" i="16"/>
  <c r="E57" i="16"/>
  <c r="D57" i="16"/>
  <c r="F55" i="16"/>
  <c r="E54" i="16"/>
  <c r="I53" i="16"/>
  <c r="H53" i="16"/>
  <c r="J53" i="16" s="1"/>
  <c r="I52" i="16"/>
  <c r="H52" i="16"/>
  <c r="F44" i="16"/>
  <c r="F42" i="16"/>
  <c r="F56" i="16" s="1"/>
  <c r="I40" i="16"/>
  <c r="H40" i="16"/>
  <c r="E39" i="16"/>
  <c r="E43" i="16" s="1"/>
  <c r="E45" i="16" s="1"/>
  <c r="E47" i="16" s="1"/>
  <c r="D39" i="16"/>
  <c r="D43" i="16" s="1"/>
  <c r="D45" i="16" s="1"/>
  <c r="D47" i="16" s="1"/>
  <c r="I38" i="16"/>
  <c r="H38" i="16"/>
  <c r="F37" i="16"/>
  <c r="E67" i="16" l="1"/>
  <c r="E68" i="16" s="1"/>
  <c r="E69" i="16" s="1"/>
  <c r="D69" i="16"/>
  <c r="D51" i="16" s="1"/>
  <c r="D54" i="16" s="1"/>
  <c r="D58" i="16"/>
  <c r="E58" i="16"/>
  <c r="J52" i="16"/>
  <c r="F52" i="16" s="1"/>
  <c r="J40" i="16"/>
  <c r="F40" i="16" s="1"/>
  <c r="J38" i="16"/>
  <c r="F38" i="16" s="1"/>
  <c r="F39" i="16" s="1"/>
  <c r="F57" i="16"/>
  <c r="F53" i="16"/>
  <c r="F60" i="16"/>
  <c r="F63" i="16" s="1"/>
  <c r="F65" i="16" s="1"/>
  <c r="F54" i="16" l="1"/>
  <c r="F58" i="16" s="1"/>
  <c r="F43" i="16"/>
  <c r="F45" i="16" s="1"/>
  <c r="F46" i="16" s="1"/>
  <c r="F47" i="16" s="1"/>
  <c r="F67" i="16" s="1"/>
  <c r="F68" i="16" s="1"/>
  <c r="F69" i="16" s="1"/>
  <c r="F72" i="16" l="1"/>
  <c r="E65" i="1"/>
  <c r="E66" i="1" s="1"/>
  <c r="E67" i="1" s="1"/>
  <c r="E68" i="1" s="1"/>
  <c r="I20" i="14" l="1"/>
  <c r="I27" i="14" l="1"/>
  <c r="I28" i="14" l="1"/>
  <c r="E22" i="1"/>
  <c r="E23" i="1" l="1"/>
  <c r="I21" i="14"/>
  <c r="I29" i="14"/>
  <c r="E24" i="1" l="1"/>
  <c r="I22" i="14"/>
  <c r="I30" i="14"/>
  <c r="I23" i="14" s="1"/>
  <c r="E25" i="1" l="1"/>
  <c r="D34" i="1" s="1"/>
  <c r="F46" i="1"/>
  <c r="F45" i="1"/>
  <c r="F44" i="1"/>
  <c r="F43" i="1"/>
  <c r="G19" i="10" l="1"/>
  <c r="G23" i="10" l="1"/>
  <c r="G31" i="10" s="1"/>
  <c r="G30" i="2"/>
  <c r="O21" i="2"/>
  <c r="D31" i="2" l="1"/>
  <c r="D35" i="2" s="1"/>
  <c r="H25" i="2"/>
  <c r="E31" i="2"/>
  <c r="D90" i="2"/>
  <c r="D89" i="2"/>
  <c r="D88" i="2"/>
  <c r="D87" i="2"/>
  <c r="D86" i="2"/>
  <c r="D85" i="2"/>
  <c r="D84" i="2"/>
  <c r="D83" i="2"/>
  <c r="D82" i="2"/>
  <c r="D81" i="2"/>
  <c r="D80" i="2"/>
  <c r="D79" i="2"/>
  <c r="D67" i="2" l="1"/>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32" i="2" l="1"/>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<sst xmlns="http://schemas.openxmlformats.org/spreadsheetml/2006/main" count="291" uniqueCount="224">
  <si>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</si>
  <si>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</si>
  <si>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</si>
  <si>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</si>
  <si>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</si>
  <si>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</si>
  <si>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</si>
  <si>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</si>
  <si>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</si>
  <si>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</si>
  <si>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</si>
  <si>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</si>
  <si>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</si>
  <si>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</si>
  <si>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</si>
  <si>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</si>
  <si>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</si>
  <si>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</si>
  <si>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</si>
  <si>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</si>
  <si>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</si>
  <si>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</si>
  <si>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</si>
  <si>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</si>
  <si>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</si>
  <si>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</si>
  <si>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</si>
  <si>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</si>
  <si>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</si>
  <si>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</si>
  <si>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</si>
  <si>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</si>
  <si>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</si>
  <si>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</si>
  <si>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</si>
  <si>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</si>
  <si>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</si>
  <si>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</si>
  <si>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</si>
  <si>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</si>
  <si>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</si>
  <si>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</si>
  <si>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</si>
  <si>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</si>
  <si>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</si>
  <si>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</si>
  <si>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</si>
  <si>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</si>
  <si>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</si>
  <si>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</si>
  <si>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</si>
  <si>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</si>
  <si>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</si>
  <si>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</si>
  <si>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</si>
  <si>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</si>
  <si>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</si>
  <si>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</si>
  <si>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</si>
  <si>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</si>
  <si>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</si>
  <si>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</si>
  <si>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</si>
  <si>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</si>
  <si>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</si>
  <si>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</si>
  <si>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</si>
  <si>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</si>
  <si>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</si>
  <si>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</si>
  <si>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</si>
  <si>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</si>
  <si>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</si>
  <si>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</si>
  <si>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</si>
  <si>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</si>
  <si>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</si>
  <si>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</si>
  <si>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</si>
  <si>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</si>
  <si>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</si>
  <si>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</si>
  <si>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</si>
  <si>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</si>
  <si>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</si>
  <si>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</si>
  <si>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</si>
  <si>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</si>
  <si>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</si>
  <si>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</si>
  <si>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</si>
  <si>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</si>
  <si>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</si>
  <si>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</si>
  <si>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</si>
  <si>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</si>
  <si>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Computations</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</si>
  <si>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</si>
  <si>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</si>
  <si>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</si>
  <si>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</si>
  <si>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</si>
  <si>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</si>
  <si>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</si>
  <si>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For multiple choice questions, enter the letter of the best reponse in the yellow cell.</t>
  </si>
  <si>
    <t>5.</t>
  </si>
  <si>
    <t>6.</t>
  </si>
  <si>
    <t>A.</t>
  </si>
  <si>
    <t>B.</t>
  </si>
  <si>
    <t>C.</t>
  </si>
  <si>
    <t>D.</t>
  </si>
  <si>
    <t>E.</t>
  </si>
  <si>
    <t>7.</t>
  </si>
  <si>
    <t>8.</t>
  </si>
  <si>
    <t>9.</t>
  </si>
  <si>
    <t>10.</t>
  </si>
  <si>
    <t>When projecting pro-forma income statements and balance sheets using the percent of sales method, which of the following are typically not assumed to maintain the same percentage ralationship to sales over time?</t>
  </si>
  <si>
    <t>Accounts receivable</t>
  </si>
  <si>
    <t>All of the above would typically maintain the same percentage relationship to sales.</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</si>
  <si>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</si>
  <si>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</si>
  <si>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</si>
  <si>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</si>
  <si>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</si>
  <si>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</si>
  <si>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</si>
  <si>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</si>
  <si>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</si>
  <si>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</si>
  <si>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</si>
  <si>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</si>
  <si>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</si>
  <si>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</si>
  <si>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</si>
  <si>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 inputs below are for a monthly payment amortizing loan with a maximum term of 5 years:</t>
  </si>
  <si>
    <t>Term of Loan in Years (1 to 5)</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</si>
  <si>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</si>
  <si>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r>
      <t>Your formulas should work for any reasonable value of the input.</t>
    </r>
    <r>
      <rPr>
        <b/>
        <sz val="11"/>
        <color theme="1"/>
        <rFont val="Calibri"/>
        <family val="2"/>
        <scheme val="minor"/>
      </rPr>
      <t xml:space="preserve"> [3 Points]</t>
    </r>
  </si>
  <si>
    <r>
      <t>given in the input cell.</t>
    </r>
    <r>
      <rPr>
        <b/>
        <sz val="11"/>
        <color theme="1"/>
        <rFont val="Calibri"/>
        <family val="2"/>
        <scheme val="minor"/>
      </rPr>
      <t xml:space="preserve"> [2 Points]</t>
    </r>
  </si>
  <si>
    <t xml:space="preserve">The table below gives the annual sales for a company from </t>
  </si>
  <si>
    <t>None of the above</t>
  </si>
  <si>
    <t>Investor risk aversion decreases</t>
  </si>
  <si>
    <t>The real rate of interest increases</t>
  </si>
  <si>
    <t>Expected inflation increases</t>
  </si>
  <si>
    <t>More than one of the above</t>
  </si>
  <si>
    <t>The risk premium on the market portfolio increases</t>
  </si>
  <si>
    <t>11.</t>
  </si>
  <si>
    <t>12.</t>
  </si>
  <si>
    <t xml:space="preserve">The expected rate of return on an investment is the rate that makes the present value of the expected cash inflows equal the present value of the expected cash outflows. </t>
  </si>
  <si>
    <t>13.</t>
  </si>
  <si>
    <t>Objective Section -- 20 Points Possible</t>
  </si>
  <si>
    <t>-2 Points for each incorrect answer -- Zero minimum</t>
  </si>
  <si>
    <t>T or F</t>
  </si>
  <si>
    <t>For True/False questions, enter T or F in the yellow cell.</t>
  </si>
  <si>
    <t>Letter</t>
  </si>
  <si>
    <t>T</t>
  </si>
  <si>
    <t>F</t>
  </si>
  <si>
    <t>The difference between the total cash inflows and the total cash outflows during a period is known as the net cash flow.</t>
  </si>
  <si>
    <t>The slope of the security market line (SML) will decrease when</t>
  </si>
  <si>
    <t>The height (y-intercept) of the SML will decrease for all of the following except</t>
  </si>
  <si>
    <t>Q</t>
  </si>
  <si>
    <t>Ans</t>
  </si>
  <si>
    <t xml:space="preserve">IMPORTANT: SAVE THIS SPREADSHEET TO THE DESKTOP OF THE </t>
  </si>
  <si>
    <r>
      <t xml:space="preserve">COMPUTER YOU ARE USING  </t>
    </r>
    <r>
      <rPr>
        <b/>
        <i/>
        <sz val="14"/>
        <color rgb="FF002060"/>
        <rFont val="Calibri"/>
        <family val="2"/>
        <scheme val="minor"/>
      </rPr>
      <t>WITH YOUR NAME IN THE FILENAME</t>
    </r>
    <r>
      <rPr>
        <b/>
        <sz val="14"/>
        <color rgb="FFFF0000"/>
        <rFont val="Calibri"/>
        <family val="2"/>
        <scheme val="minor"/>
      </rPr>
      <t>.</t>
    </r>
  </si>
  <si>
    <t>RESAVE IT OFTEN WHILE YOU ARE WORKING ON IT.</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</si>
  <si>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</si>
  <si>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</si>
  <si>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</si>
  <si>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</si>
  <si>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</si>
  <si>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</si>
  <si>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</si>
  <si>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</si>
  <si>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Close Excel.</t>
  </si>
  <si>
    <t>Tell your proctor that you have finished.</t>
  </si>
  <si>
    <t>PV of the 24 overpayments</t>
  </si>
  <si>
    <t>Reduce the loan amount by PV of overpayments</t>
  </si>
  <si>
    <t xml:space="preserve">Number of normal payments needed to </t>
  </si>
  <si>
    <t xml:space="preserve">   pay off reduced loan amount</t>
  </si>
  <si>
    <t xml:space="preserve">   are made and the total dollar value of the</t>
  </si>
  <si>
    <t xml:space="preserve">  over the life of the loan if only the requred payments</t>
  </si>
  <si>
    <t xml:space="preserve">   overpayments are made in the first two years</t>
  </si>
  <si>
    <t xml:space="preserve">   of the loan.</t>
  </si>
  <si>
    <t xml:space="preserve">  amount of the payments that would be  paid</t>
  </si>
  <si>
    <t xml:space="preserve">   payments that will be made if the supplemental</t>
  </si>
  <si>
    <t>0.5 percent overpayment in first 2 years</t>
  </si>
  <si>
    <t xml:space="preserve">for the first two years, but then will pay an equal amount each year for 7 years, and then </t>
  </si>
  <si>
    <t>Cash Flow</t>
  </si>
  <si>
    <t>$X</t>
  </si>
  <si>
    <t xml:space="preserve">  4 Pts</t>
  </si>
  <si>
    <t>PV at t=0 of CF3-6</t>
  </si>
  <si>
    <t>PV at t=0 of CF11-12</t>
  </si>
  <si>
    <t>Value of unknowns at t=6</t>
  </si>
  <si>
    <t xml:space="preserve">the NET INCOME from the table at the right for the year </t>
  </si>
  <si>
    <t>NET INCOME</t>
  </si>
  <si>
    <t xml:space="preserve">2005-2014. Use that data to create a scatter chart with lines </t>
  </si>
  <si>
    <t>and markers that shows sales on the Y axis and the year on the</t>
  </si>
  <si>
    <t xml:space="preserve">X axis. Include a trendline on the chart showing the best </t>
  </si>
  <si>
    <t>linear estimate of sales for 2015, 2016, and 2017  based</t>
  </si>
  <si>
    <t xml:space="preserve">on the earlier years' sales. Format your chart appropriately. </t>
  </si>
  <si>
    <t xml:space="preserve">Set the x axis to start at 2005 and end at 2017 and make </t>
  </si>
  <si>
    <r>
      <t>sure every year displays.</t>
    </r>
    <r>
      <rPr>
        <b/>
        <sz val="11"/>
        <color theme="1"/>
        <rFont val="Calibri"/>
        <family val="2"/>
        <scheme val="minor"/>
      </rPr>
      <t xml:space="preserve"> [4 Points]</t>
    </r>
  </si>
  <si>
    <t>Percent Change in Sales from 2014</t>
  </si>
  <si>
    <t>Tax Rate for 2015</t>
  </si>
  <si>
    <t>Common Stock Dividend for 2015</t>
  </si>
  <si>
    <t>Expected addition to Plant and Equipment in 2015</t>
  </si>
  <si>
    <t>Additional depreciation on new Plant/Equip in 2015</t>
  </si>
  <si>
    <t>Excess/(Deficit) Financing for 2015</t>
  </si>
  <si>
    <t xml:space="preserve">The "nonimal" or "stated" rate on a loan or investment is always more than the effective  rate except in the case of annual compounding when the nominal and effective rates are equal. </t>
  </si>
  <si>
    <t>A series of identical cash flows that are expected to occur at equal time periods forever in the future is a perpetuity.</t>
  </si>
  <si>
    <t>The risk/return tradeoff says that in order to take a higher than average risk on an investment, you must expect to make a higher than average rate of return.</t>
  </si>
  <si>
    <t>B</t>
  </si>
  <si>
    <t>None of the above is an exception</t>
  </si>
  <si>
    <t>E</t>
  </si>
  <si>
    <t xml:space="preserve">The beta (β) coefficient is a measure of a stock's total risk or variance when it is held in a well-diversified portfolio. </t>
  </si>
  <si>
    <t>Any stock that is less sensitive than average to changes in general economic conditions will have a beta coefficient less than zero.</t>
  </si>
  <si>
    <t>For any positive interest rate, increasing the compounding frequency will increase the present value of an investment.</t>
  </si>
  <si>
    <t>An investor would always prefer a longer compounding period for interest than a shorter compounding period, other things equal.</t>
  </si>
  <si>
    <t>The "required" rate of return increases as the risk of an investment increases, other things equal.</t>
  </si>
  <si>
    <t>Inventory</t>
  </si>
  <si>
    <t>14.</t>
  </si>
  <si>
    <t xml:space="preserve">In a world with no risk and no inflation, rational investors would require the risk-free rate of interest to lend their money to someone else for a period of time.  </t>
  </si>
  <si>
    <t>Accounts payable</t>
  </si>
  <si>
    <t>There are 8 tabbed pages in this exam spreadsheet including this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</si>
</sst>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1"/>
      <color theme="1" tint="4.9989318521683403E-2"/>
      <name val="Calibri"/>
      <family val="2"/>
      <scheme val="minor"/>
    </font>
    <font>
      <b/>
      <sz val="14"/>
      <color theme="1"/>
      <name val="Calibri"/>
      <family val="2"/>
      <scheme val="minor"/>
    </font>
    <font>
      <b/>
      <i/>
      <sz val="14"/>
      <color rgb="FF00206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5"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quotePrefix="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0" fontId="3" fillId="4" borderId="5" xfId="0" applyFont="1" applyFill="1" applyBorder="1" applyAlignment="1">
      <alignment horizontal="center"/>
    </xf>
    <xf numFmtId="0" fontId="3" fillId="4" borderId="9" xfId="0" applyFont="1" applyFill="1" applyBorder="1" applyAlignment="1">
      <alignment horizontal="center"/>
    </xf>
    <xf numFmtId="41" fontId="5" fillId="0" borderId="0" xfId="0" applyNumberFormat="1" applyFont="1"/>
    <xf numFmtId="164" fontId="0" fillId="4" borderId="6" xfId="2" applyNumberFormat="1" applyFont="1" applyFill="1" applyBorder="1"/>
    <xf numFmtId="0" fontId="11" fillId="0" borderId="0" xfId="0" applyFont="1"/>
    <xf numFmtId="43" fontId="0" fillId="2" borderId="1" xfId="1" applyFont="1" applyFill="1" applyBorder="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4"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5"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3" fillId="0" borderId="0" xfId="0" applyFont="1" applyAlignment="1">
      <alignment horizontal="left"/>
    </xf>
    <xf numFmtId="0" fontId="3" fillId="0" borderId="0" xfId="0" applyFont="1" applyAlignment="1">
      <alignment horizontal="left" indent="2"/>
    </xf>
    <xf numFmtId="0" fontId="12" fillId="6" borderId="17" xfId="0" applyFont="1" applyFill="1" applyBorder="1"/>
    <xf numFmtId="0" fontId="3" fillId="4" borderId="18" xfId="0" applyFont="1" applyFill="1" applyBorder="1" applyAlignment="1">
      <alignment horizontal="center"/>
    </xf>
    <xf numFmtId="164" fontId="0" fillId="4" borderId="19" xfId="2" applyNumberFormat="1" applyFont="1" applyFill="1" applyBorder="1"/>
    <xf numFmtId="164" fontId="0" fillId="4" borderId="7" xfId="2" applyNumberFormat="1" applyFont="1" applyFill="1" applyBorder="1"/>
    <xf numFmtId="0" fontId="0" fillId="0" borderId="0" xfId="0" applyAlignment="1">
      <alignment vertical="center"/>
    </xf>
    <xf numFmtId="41" fontId="8" fillId="5"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2" borderId="20" xfId="0" applyFont="1" applyFill="1" applyBorder="1" applyAlignment="1">
      <alignment horizontal="center"/>
    </xf>
    <xf numFmtId="0" fontId="3" fillId="2" borderId="21" xfId="0" applyFont="1" applyFill="1" applyBorder="1" applyAlignment="1">
      <alignment horizont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44" fontId="0" fillId="0" borderId="0" xfId="0" applyNumberFormat="1"/>
    <xf numFmtId="0" fontId="16"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8" fontId="3" fillId="0" borderId="0" xfId="0" applyNumberFormat="1" applyFont="1"/>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7" borderId="11"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vertical="center"/>
    </xf>
    <xf numFmtId="0" fontId="4" fillId="0" borderId="9" xfId="0" applyFont="1" applyBorder="1" applyAlignment="1">
      <alignment horizontal="center"/>
    </xf>
    <xf numFmtId="0" fontId="4" fillId="0" borderId="7" xfId="0" applyFont="1" applyBorder="1" applyAlignment="1">
      <alignment horizontal="center" vertical="center"/>
    </xf>
    <xf numFmtId="0" fontId="4" fillId="0" borderId="25" xfId="0" applyFont="1" applyBorder="1" applyAlignment="1">
      <alignment horizontal="center"/>
    </xf>
    <xf numFmtId="0" fontId="4" fillId="0" borderId="23" xfId="0" applyFont="1" applyBorder="1" applyAlignment="1">
      <alignment horizontal="center" vertical="center"/>
    </xf>
    <xf numFmtId="0" fontId="0" fillId="8" borderId="9" xfId="0" applyFill="1" applyBorder="1"/>
    <xf numFmtId="0" fontId="0" fillId="8" borderId="7" xfId="0" applyFill="1" applyBorder="1"/>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8" borderId="29"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'P5 - 15 Pts'!$D$97</c:f>
              <c:strCache>
                <c:ptCount val="1"/>
                <c:pt idx="0">
                  <c:v>Sales</c:v>
                </c:pt>
              </c:strCache>
            </c:strRef>
          </c:tx>
          <c:spPr>
            <a:ln w="19050"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trendline>
            <c:spPr>
              <a:ln w="25400" cap="rnd">
                <a:solidFill>
                  <a:schemeClr val="tx1"/>
                </a:solidFill>
                <a:prstDash val="sysDot"/>
              </a:ln>
              <a:effectLst/>
            </c:spPr>
            <c:trendlineType val="linear"/>
            <c:forward val="3"/>
            <c:dispRSqr val="0"/>
            <c:dispEq val="0"/>
          </c:trendline>
          <c:xVal>
            <c:numRef>
              <c:f>'P5 - 15 Pts'!$C$98:$C$107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xVal>
          <c:yVal>
            <c:numRef>
              <c:f>'P5 - 15 Pts'!$D$98:$D$107</c:f>
              <c:numCache>
                <c:formatCode>_("$"* #,##0_);_("$"* \(#,##0\);_("$"* "-"??_);_(@_)</c:formatCode>
                <c:ptCount val="10"/>
                <c:pt idx="0">
                  <c:v>1345000</c:v>
                </c:pt>
                <c:pt idx="1">
                  <c:v>1472000</c:v>
                </c:pt>
                <c:pt idx="2">
                  <c:v>1725000</c:v>
                </c:pt>
                <c:pt idx="3">
                  <c:v>1815000</c:v>
                </c:pt>
                <c:pt idx="4">
                  <c:v>1485000</c:v>
                </c:pt>
                <c:pt idx="5">
                  <c:v>2105000</c:v>
                </c:pt>
                <c:pt idx="6">
                  <c:v>2620000</c:v>
                </c:pt>
                <c:pt idx="7">
                  <c:v>2450000</c:v>
                </c:pt>
                <c:pt idx="8">
                  <c:v>2745000</c:v>
                </c:pt>
                <c:pt idx="9">
                  <c:v>2250000</c:v>
                </c:pt>
              </c:numCache>
            </c:numRef>
          </c:yVal>
          <c:smooth val="0"/>
        </c:ser>
        <c:dLbls>
          <c:showLegendKey val="0"/>
          <c:showVal val="0"/>
          <c:showCatName val="0"/>
          <c:showSerName val="0"/>
          <c:showPercent val="0"/>
          <c:showBubbleSize val="0"/>
        </c:dLbls>
        <c:axId val="638706400"/>
        <c:axId val="638717824"/>
      </c:scatterChart>
      <c:valAx>
        <c:axId val="638706400"/>
        <c:scaling>
          <c:orientation val="minMax"/>
          <c:max val="2017"/>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8717824"/>
        <c:crosses val="autoZero"/>
        <c:crossBetween val="midCat"/>
        <c:majorUnit val="1"/>
        <c:minorUnit val="1"/>
      </c:valAx>
      <c:valAx>
        <c:axId val="6387178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870640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380999</xdr:colOff>
      <xdr:row>1</xdr:row>
      <xdr:rowOff>12700</xdr:rowOff>
    </xdr:from>
    <xdr:to>
      <xdr:col>5</xdr:col>
      <xdr:colOff>1623391</xdr:colOff>
      <xdr:row>20</xdr:row>
      <xdr:rowOff>119269</xdr:rowOff>
    </xdr:to>
    <xdr:sp macro="" textlink="">
      <xdr:nvSpPr>
        <xdr:cNvPr id="2" name="TextBox 1"/>
        <xdr:cNvSpPr txBox="1"/>
      </xdr:nvSpPr>
      <xdr:spPr>
        <a:xfrm>
          <a:off x="380999" y="198230"/>
          <a:ext cx="5966792" cy="36316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(This is not the same as the last problem) The inputs below represent</a:t>
          </a:r>
          <a:r>
            <a:rPr lang="en-US" sz="1100" baseline="0"/>
            <a:t> a </a:t>
          </a:r>
          <a:r>
            <a:rPr lang="en-US" sz="1100" u="sng" baseline="0"/>
            <a:t>5-year loan </a:t>
          </a:r>
          <a:r>
            <a:rPr lang="en-US" sz="1100" baseline="0"/>
            <a:t>with monthly payments. The loan will have a required monthly payment that depends on the amount of the loan and the interest rate (which are provided as inputs), but  can pay more than the required payment. </a:t>
          </a:r>
        </a:p>
        <a:p>
          <a:endParaRPr lang="en-US" sz="1100" baseline="0"/>
        </a:p>
        <a:p>
          <a:r>
            <a:rPr lang="en-US" sz="1100" u="sng" baseline="0"/>
            <a:t>For the first two years of the loan</a:t>
          </a:r>
          <a:r>
            <a:rPr lang="en-US" sz="1100" baseline="0"/>
            <a:t> you intend to make an extra payment of 0.5 percent (one half of one percent) of the original loan amount each month as an additional payment. You will make only the required monthly payment for the remainder of the loan. This loan does not have a balloon payment.</a:t>
          </a:r>
        </a:p>
        <a:p>
          <a:endParaRPr lang="en-US" sz="1100" baseline="0"/>
        </a:p>
        <a:p>
          <a:r>
            <a:rPr lang="en-US" sz="1100" baseline="0"/>
            <a:t>Create whatever formulas are necessary to compute the number of payments that would be needed to pay off the loan under the conditions described above. Your answer must be correct for any reasonable values of the inputs for the original loan amount and the interest rate. </a:t>
          </a:r>
        </a:p>
        <a:p>
          <a:endParaRPr lang="en-US" sz="1100"/>
        </a:p>
        <a:p>
          <a:r>
            <a:rPr lang="en-US" sz="1100"/>
            <a:t>Also create whatever formulas are necessary to compute</a:t>
          </a:r>
          <a:r>
            <a:rPr lang="en-US" sz="1100" baseline="0"/>
            <a:t> the difference between the total dollar amount of the payments that would have been paid on the loan if only the required payments were made and the total dollar amount of payments that will be paid if the supplemental monthly payment is made for the first two years.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2629" y="542192"/>
          <a:ext cx="2599226"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a:t>
          </a:r>
          <a:endParaRPr lang="en-US" sz="1400" b="1"/>
        </a:p>
      </xdr:txBody>
    </xdr:sp>
    <xdr:clientData/>
  </xdr:twoCellAnchor>
  <xdr:twoCellAnchor>
    <xdr:from>
      <xdr:col>4</xdr:col>
      <xdr:colOff>152400</xdr:colOff>
      <xdr:row>94</xdr:row>
      <xdr:rowOff>174999</xdr:rowOff>
    </xdr:from>
    <xdr:to>
      <xdr:col>10</xdr:col>
      <xdr:colOff>592015</xdr:colOff>
      <xdr:row>111</xdr:row>
      <xdr:rowOff>5862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445475</xdr:colOff>
      <xdr:row>62</xdr:row>
      <xdr:rowOff>0</xdr:rowOff>
    </xdr:from>
    <xdr:to>
      <xdr:col>9</xdr:col>
      <xdr:colOff>709244</xdr:colOff>
      <xdr:row>67</xdr:row>
      <xdr:rowOff>134815</xdr:rowOff>
    </xdr:to>
    <xdr:sp macro="" textlink="">
      <xdr:nvSpPr>
        <xdr:cNvPr id="5" name="Rectangle 4"/>
        <xdr:cNvSpPr/>
      </xdr:nvSpPr>
      <xdr:spPr>
        <a:xfrm>
          <a:off x="4642337" y="12731262"/>
          <a:ext cx="2467707" cy="10433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The SIGN of</a:t>
          </a:r>
          <a:r>
            <a:rPr lang="en-US" sz="1100" baseline="0"/>
            <a:t> the answer matters. A negative sign indicates a cash flow in the opposite direction of the given future cash flows, and a positive sign indicates cash flows in the same direction as the given future cash flows.</a:t>
          </a:r>
          <a:endParaRPr lang="en-US" sz="1100"/>
        </a:p>
      </xdr:txBody>
    </xdr:sp>
    <xdr:clientData/>
  </xdr:twoCellAnchor>
  <xdr:twoCellAnchor>
    <xdr:from>
      <xdr:col>2</xdr:col>
      <xdr:colOff>46893</xdr:colOff>
      <xdr:row>49</xdr:row>
      <xdr:rowOff>70338</xdr:rowOff>
    </xdr:from>
    <xdr:to>
      <xdr:col>4</xdr:col>
      <xdr:colOff>855785</xdr:colOff>
      <xdr:row>60</xdr:row>
      <xdr:rowOff>111369</xdr:rowOff>
    </xdr:to>
    <xdr:sp macro="" textlink="">
      <xdr:nvSpPr>
        <xdr:cNvPr id="3" name="Rectangle 2"/>
        <xdr:cNvSpPr/>
      </xdr:nvSpPr>
      <xdr:spPr>
        <a:xfrm>
          <a:off x="638908" y="10204938"/>
          <a:ext cx="2766646" cy="225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Consider the cash flow timeline shown to the right.</a:t>
          </a:r>
          <a:r>
            <a:rPr lang="en-US" sz="1100" baseline="0"/>
            <a:t> The X's represent unknown cash flows that are equal to each other. The total present value of all of the cashflows, including the X's, is $27,500 at a 9.0% discount rate. </a:t>
          </a:r>
        </a:p>
        <a:p>
          <a:pPr algn="l"/>
          <a:endParaRPr lang="en-US" sz="1100" baseline="0"/>
        </a:p>
        <a:p>
          <a:pPr algn="l"/>
          <a:r>
            <a:rPr lang="en-US" sz="1100" baseline="0"/>
            <a:t>In the space below, create whatever formulas are needed to compute the value of $X. There are no inputs, so you can hard-code the numbers in the formulas but the formulas must be provided.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22</xdr:row>
      <xdr:rowOff>152400</xdr:rowOff>
    </xdr:to>
    <xdr:sp macro="" textlink="">
      <xdr:nvSpPr>
        <xdr:cNvPr id="2" name="TextBox 1"/>
        <xdr:cNvSpPr txBox="1"/>
      </xdr:nvSpPr>
      <xdr:spPr>
        <a:xfrm>
          <a:off x="228599" y="180974"/>
          <a:ext cx="5857876" cy="4162426"/>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2015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2015.  This equipment will be depreciated at $75,000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 </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60" zoomScaleNormal="160" workbookViewId="0"/>
  </sheetViews>
  <sheetFormatPr defaultColWidth="9.109375" defaultRowHeight="14.4" x14ac:dyDescent="0.3"/>
  <cols>
    <col min="1" max="1" width="3.109375" style="104" customWidth="1"/>
    <col min="2" max="2" width="4.5546875" style="104" customWidth="1"/>
    <col min="3" max="16384" width="9.109375" style="104"/>
  </cols>
  <sheetData>
    <row r="2" spans="2:2" ht="18" x14ac:dyDescent="0.35">
      <c r="B2" s="83" t="s">
        <v>162</v>
      </c>
    </row>
    <row r="3" spans="2:2" ht="18" x14ac:dyDescent="0.35">
      <c r="B3" s="83" t="s">
        <v>163</v>
      </c>
    </row>
    <row r="4" spans="2:2" ht="18" x14ac:dyDescent="0.35">
      <c r="B4" s="83" t="s">
        <v>164</v>
      </c>
    </row>
    <row r="5" spans="2:2" ht="12" customHeight="1" x14ac:dyDescent="0.35">
      <c r="B5" s="83"/>
    </row>
    <row r="6" spans="2:2" ht="18" x14ac:dyDescent="0.35">
      <c r="B6" s="83" t="s">
        <v>53</v>
      </c>
    </row>
    <row r="7" spans="2:2" ht="18" x14ac:dyDescent="0.35">
      <c r="B7" s="83" t="s">
        <v>165</v>
      </c>
    </row>
    <row r="8" spans="2:2" ht="6.75" customHeight="1" x14ac:dyDescent="0.35">
      <c r="B8" s="83"/>
    </row>
    <row r="9" spans="2:2" ht="18" x14ac:dyDescent="0.35">
      <c r="B9" s="83" t="s">
        <v>166</v>
      </c>
    </row>
    <row r="10" spans="2:2" ht="18" x14ac:dyDescent="0.35">
      <c r="B10" s="83" t="s">
        <v>167</v>
      </c>
    </row>
    <row r="11" spans="2:2" ht="18" x14ac:dyDescent="0.35">
      <c r="B11" s="83" t="s">
        <v>168</v>
      </c>
    </row>
    <row r="12" spans="2:2" ht="13.5" customHeight="1" x14ac:dyDescent="0.35">
      <c r="B12" s="83"/>
    </row>
    <row r="13" spans="2:2" x14ac:dyDescent="0.3">
      <c r="B13" s="104" t="s">
        <v>223</v>
      </c>
    </row>
    <row r="14" spans="2:2" ht="9" customHeight="1" x14ac:dyDescent="0.35">
      <c r="B14" s="83"/>
    </row>
    <row r="15" spans="2:2" x14ac:dyDescent="0.3">
      <c r="B15" s="104" t="s">
        <v>54</v>
      </c>
    </row>
    <row r="16" spans="2:2" ht="6.75" customHeight="1" x14ac:dyDescent="0.3"/>
    <row r="17" spans="2:3" x14ac:dyDescent="0.3">
      <c r="B17" s="104" t="s">
        <v>169</v>
      </c>
    </row>
    <row r="18" spans="2:3" ht="6.75" customHeight="1" x14ac:dyDescent="0.3"/>
    <row r="19" spans="2:3" x14ac:dyDescent="0.3">
      <c r="B19" s="104" t="s">
        <v>170</v>
      </c>
    </row>
    <row r="20" spans="2:3" x14ac:dyDescent="0.3">
      <c r="B20" s="104" t="s">
        <v>171</v>
      </c>
    </row>
    <row r="21" spans="2:3" x14ac:dyDescent="0.3">
      <c r="B21" s="104" t="s">
        <v>172</v>
      </c>
    </row>
    <row r="23" spans="2:3" ht="18" x14ac:dyDescent="0.35">
      <c r="B23" s="83" t="s">
        <v>71</v>
      </c>
    </row>
    <row r="24" spans="2:3" ht="5.25" customHeight="1" x14ac:dyDescent="0.3"/>
    <row r="25" spans="2:3" ht="5.25" customHeight="1" x14ac:dyDescent="0.3"/>
    <row r="26" spans="2:3" ht="21" customHeight="1" x14ac:dyDescent="0.35">
      <c r="C26" s="83" t="s">
        <v>72</v>
      </c>
    </row>
    <row r="27" spans="2:3" ht="21" customHeight="1" x14ac:dyDescent="0.35">
      <c r="C27" s="83" t="s">
        <v>173</v>
      </c>
    </row>
    <row r="28" spans="2:3" ht="21" customHeight="1" x14ac:dyDescent="0.35">
      <c r="C28" s="83" t="s">
        <v>174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abSelected="1" zoomScale="145" zoomScaleNormal="145" workbookViewId="0">
      <selection activeCell="H22" sqref="H22"/>
    </sheetView>
  </sheetViews>
  <sheetFormatPr defaultRowHeight="14.4" x14ac:dyDescent="0.3"/>
  <cols>
    <col min="1" max="2" width="2.6640625" customWidth="1"/>
    <col min="3" max="6" width="14.6640625" customWidth="1"/>
    <col min="7" max="7" width="16.33203125" customWidth="1"/>
    <col min="8" max="8" width="13.33203125" customWidth="1"/>
    <col min="9" max="9" width="8.6640625" customWidth="1"/>
  </cols>
  <sheetData>
    <row r="5" spans="23:23" ht="75" customHeight="1" x14ac:dyDescent="0.3"/>
    <row r="12" spans="23:23" x14ac:dyDescent="0.3">
      <c r="W12">
        <v>1</v>
      </c>
    </row>
    <row r="18" spans="3:19" x14ac:dyDescent="0.3">
      <c r="C18" s="38"/>
    </row>
    <row r="19" spans="3:19" x14ac:dyDescent="0.3">
      <c r="C19" s="38"/>
    </row>
    <row r="20" spans="3:19" x14ac:dyDescent="0.3">
      <c r="C20" s="16" t="s">
        <v>59</v>
      </c>
    </row>
    <row r="21" spans="3:19" ht="15" thickBot="1" x14ac:dyDescent="0.35">
      <c r="C21" s="6" t="s">
        <v>8</v>
      </c>
      <c r="F21" s="2">
        <v>450000</v>
      </c>
      <c r="G21" t="s">
        <v>81</v>
      </c>
      <c r="N21" t="s">
        <v>73</v>
      </c>
      <c r="O21">
        <f>IF(F25="Annual",1,IF(F25="Quarterly",4,12))</f>
        <v>12</v>
      </c>
      <c r="P21">
        <v>1</v>
      </c>
    </row>
    <row r="22" spans="3:19" ht="15" thickBot="1" x14ac:dyDescent="0.35">
      <c r="C22" s="38" t="s">
        <v>76</v>
      </c>
      <c r="F22" s="46">
        <v>5</v>
      </c>
      <c r="G22" t="s">
        <v>84</v>
      </c>
      <c r="H22" s="5">
        <f>D31*Term*Periods+F24-F21</f>
        <v>81122.709181681159</v>
      </c>
      <c r="N22" t="s">
        <v>74</v>
      </c>
      <c r="P22">
        <v>2</v>
      </c>
    </row>
    <row r="23" spans="3:19" x14ac:dyDescent="0.3">
      <c r="C23" s="6" t="s">
        <v>9</v>
      </c>
      <c r="F23" s="3">
        <v>5.2499999999999998E-2</v>
      </c>
      <c r="N23" t="s">
        <v>75</v>
      </c>
      <c r="P23">
        <v>3</v>
      </c>
    </row>
    <row r="24" spans="3:19" ht="15" thickBot="1" x14ac:dyDescent="0.35">
      <c r="C24" s="6" t="s">
        <v>10</v>
      </c>
      <c r="F24" s="2">
        <v>150000</v>
      </c>
      <c r="G24" t="s">
        <v>82</v>
      </c>
      <c r="P24">
        <v>4</v>
      </c>
    </row>
    <row r="25" spans="3:19" ht="15" thickBot="1" x14ac:dyDescent="0.35">
      <c r="C25" s="38" t="s">
        <v>58</v>
      </c>
      <c r="F25" t="s">
        <v>75</v>
      </c>
      <c r="G25" t="s">
        <v>83</v>
      </c>
      <c r="H25" s="51">
        <f>EFFECT(Rate,Periods)</f>
        <v>5.3781886727462203E-2</v>
      </c>
      <c r="P25">
        <v>5</v>
      </c>
    </row>
    <row r="26" spans="3:19" ht="4.2" customHeight="1" thickBot="1" x14ac:dyDescent="0.35">
      <c r="C26" s="39"/>
      <c r="D26" s="8"/>
      <c r="E26" s="8"/>
      <c r="F26" s="8"/>
      <c r="G26" s="8"/>
      <c r="H26" s="8"/>
      <c r="I26" s="8"/>
      <c r="J26" s="8"/>
      <c r="K26" s="8"/>
      <c r="L26" s="8"/>
      <c r="M26" s="8"/>
      <c r="N26" s="15"/>
      <c r="O26" s="15"/>
      <c r="P26" s="15"/>
      <c r="Q26" s="15"/>
      <c r="R26" s="15"/>
      <c r="S26" s="15"/>
    </row>
    <row r="27" spans="3:19" ht="6" customHeight="1" x14ac:dyDescent="0.3"/>
    <row r="28" spans="3:19" ht="6" customHeight="1" thickBot="1" x14ac:dyDescent="0.35"/>
    <row r="29" spans="3:19" ht="29.4" thickBot="1" x14ac:dyDescent="0.35">
      <c r="C29" s="9" t="s">
        <v>11</v>
      </c>
      <c r="D29" s="10" t="s">
        <v>4</v>
      </c>
      <c r="E29" s="10" t="s">
        <v>12</v>
      </c>
      <c r="F29" s="10" t="s">
        <v>13</v>
      </c>
      <c r="G29" s="11" t="s">
        <v>14</v>
      </c>
    </row>
    <row r="30" spans="3:19" x14ac:dyDescent="0.3">
      <c r="C30" s="12">
        <v>0</v>
      </c>
      <c r="D30" s="13"/>
      <c r="E30" s="13"/>
      <c r="F30" s="13"/>
      <c r="G30" s="47">
        <f>F21</f>
        <v>450000</v>
      </c>
    </row>
    <row r="31" spans="3:19" x14ac:dyDescent="0.3">
      <c r="C31" s="12">
        <v>1</v>
      </c>
      <c r="D31" s="14">
        <f>PMT(Rate/Periods,Term*Periods,-F21,F24)</f>
        <v>6352.0451530280188</v>
      </c>
      <c r="E31" s="13">
        <f t="shared" ref="E31:E62" si="0">IF(C31&gt;Term*Periods,"",G30*Rate/Periods)</f>
        <v>1968.75</v>
      </c>
      <c r="F31" s="14">
        <f t="shared" ref="F31:F62" si="1">IF(C31&gt;Term*Periods,"",D31-E31)</f>
        <v>4383.2951530280188</v>
      </c>
      <c r="G31" s="13">
        <f t="shared" ref="G31:G62" si="2">IF(C31&gt;Term*Periods,"",G30-F31)</f>
        <v>445616.70484697196</v>
      </c>
      <c r="K31" t="s">
        <v>15</v>
      </c>
    </row>
    <row r="32" spans="3:19" x14ac:dyDescent="0.3">
      <c r="C32" s="12">
        <v>2</v>
      </c>
      <c r="D32" s="14">
        <f t="shared" ref="D32:D63" si="3">IF(C32&gt;Term*Periods,"",IF(C32=Term*Periods,$D$31+$F$24,$D$31))</f>
        <v>6352.0451530280188</v>
      </c>
      <c r="E32" s="13">
        <f t="shared" si="0"/>
        <v>1949.5730837055023</v>
      </c>
      <c r="F32" s="14">
        <f t="shared" si="1"/>
        <v>4402.4720693225163</v>
      </c>
      <c r="G32" s="13">
        <f t="shared" si="2"/>
        <v>441214.23277764942</v>
      </c>
    </row>
    <row r="33" spans="3:7" x14ac:dyDescent="0.3">
      <c r="C33" s="12">
        <v>3</v>
      </c>
      <c r="D33" s="14">
        <f t="shared" si="3"/>
        <v>6352.0451530280188</v>
      </c>
      <c r="E33" s="13">
        <f t="shared" si="0"/>
        <v>1930.3122684022162</v>
      </c>
      <c r="F33" s="14">
        <f t="shared" si="1"/>
        <v>4421.7328846258024</v>
      </c>
      <c r="G33" s="13">
        <f t="shared" si="2"/>
        <v>436792.49989302363</v>
      </c>
    </row>
    <row r="34" spans="3:7" x14ac:dyDescent="0.3">
      <c r="C34" s="12">
        <v>4</v>
      </c>
      <c r="D34" s="14">
        <f t="shared" si="3"/>
        <v>6352.0451530280188</v>
      </c>
      <c r="E34" s="13">
        <f t="shared" si="0"/>
        <v>1910.9671870319783</v>
      </c>
      <c r="F34" s="14">
        <f t="shared" si="1"/>
        <v>4441.0779659960408</v>
      </c>
      <c r="G34" s="13">
        <f t="shared" si="2"/>
        <v>432351.42192702758</v>
      </c>
    </row>
    <row r="35" spans="3:7" x14ac:dyDescent="0.3">
      <c r="C35" s="12">
        <v>5</v>
      </c>
      <c r="D35" s="14">
        <f t="shared" si="3"/>
        <v>6352.0451530280188</v>
      </c>
      <c r="E35" s="13">
        <f t="shared" si="0"/>
        <v>1891.5374709307455</v>
      </c>
      <c r="F35" s="14">
        <f t="shared" si="1"/>
        <v>4460.5076820972736</v>
      </c>
      <c r="G35" s="13">
        <f t="shared" si="2"/>
        <v>427890.91424493032</v>
      </c>
    </row>
    <row r="36" spans="3:7" x14ac:dyDescent="0.3">
      <c r="C36" s="12">
        <v>6</v>
      </c>
      <c r="D36" s="14">
        <f t="shared" si="3"/>
        <v>6352.0451530280188</v>
      </c>
      <c r="E36" s="13">
        <f t="shared" si="0"/>
        <v>1872.02274982157</v>
      </c>
      <c r="F36" s="14">
        <f t="shared" si="1"/>
        <v>4480.0224032064489</v>
      </c>
      <c r="G36" s="13">
        <f t="shared" si="2"/>
        <v>423410.89184172387</v>
      </c>
    </row>
    <row r="37" spans="3:7" x14ac:dyDescent="0.3">
      <c r="C37" s="12">
        <v>7</v>
      </c>
      <c r="D37" s="14">
        <f t="shared" si="3"/>
        <v>6352.0451530280188</v>
      </c>
      <c r="E37" s="13">
        <f t="shared" si="0"/>
        <v>1852.422651807542</v>
      </c>
      <c r="F37" s="14">
        <f t="shared" si="1"/>
        <v>4499.6225012204768</v>
      </c>
      <c r="G37" s="13">
        <f t="shared" si="2"/>
        <v>418911.26934050338</v>
      </c>
    </row>
    <row r="38" spans="3:7" x14ac:dyDescent="0.3">
      <c r="C38" s="12">
        <v>8</v>
      </c>
      <c r="D38" s="14">
        <f t="shared" si="3"/>
        <v>6352.0451530280188</v>
      </c>
      <c r="E38" s="13">
        <f t="shared" si="0"/>
        <v>1832.7368033647024</v>
      </c>
      <c r="F38" s="14">
        <f t="shared" si="1"/>
        <v>4519.3083496633162</v>
      </c>
      <c r="G38" s="13">
        <f t="shared" si="2"/>
        <v>414391.96099084005</v>
      </c>
    </row>
    <row r="39" spans="3:7" x14ac:dyDescent="0.3">
      <c r="C39" s="12">
        <v>9</v>
      </c>
      <c r="D39" s="14">
        <f t="shared" si="3"/>
        <v>6352.0451530280188</v>
      </c>
      <c r="E39" s="13">
        <f t="shared" si="0"/>
        <v>1812.9648293349253</v>
      </c>
      <c r="F39" s="14">
        <f t="shared" si="1"/>
        <v>4539.0803236930933</v>
      </c>
      <c r="G39" s="13">
        <f t="shared" si="2"/>
        <v>409852.88066714694</v>
      </c>
    </row>
    <row r="40" spans="3:7" x14ac:dyDescent="0.3">
      <c r="C40" s="12">
        <v>10</v>
      </c>
      <c r="D40" s="14">
        <f t="shared" si="3"/>
        <v>6352.0451530280188</v>
      </c>
      <c r="E40" s="13">
        <f t="shared" si="0"/>
        <v>1793.1063529187677</v>
      </c>
      <c r="F40" s="14">
        <f t="shared" si="1"/>
        <v>4558.9388001092511</v>
      </c>
      <c r="G40" s="13">
        <f t="shared" si="2"/>
        <v>405293.94186703768</v>
      </c>
    </row>
    <row r="41" spans="3:7" x14ac:dyDescent="0.3">
      <c r="C41" s="12">
        <v>11</v>
      </c>
      <c r="D41" s="14">
        <f t="shared" si="3"/>
        <v>6352.0451530280188</v>
      </c>
      <c r="E41" s="13">
        <f t="shared" si="0"/>
        <v>1773.1609956682898</v>
      </c>
      <c r="F41" s="14">
        <f t="shared" si="1"/>
        <v>4578.8841573597292</v>
      </c>
      <c r="G41" s="13">
        <f t="shared" si="2"/>
        <v>400715.05770967796</v>
      </c>
    </row>
    <row r="42" spans="3:7" x14ac:dyDescent="0.3">
      <c r="C42" s="12">
        <v>12</v>
      </c>
      <c r="D42" s="14">
        <f t="shared" si="3"/>
        <v>6352.0451530280188</v>
      </c>
      <c r="E42" s="13">
        <f t="shared" si="0"/>
        <v>1753.128377479841</v>
      </c>
      <c r="F42" s="14">
        <f t="shared" si="1"/>
        <v>4598.9167755481776</v>
      </c>
      <c r="G42" s="13">
        <f t="shared" si="2"/>
        <v>396116.14093412977</v>
      </c>
    </row>
    <row r="43" spans="3:7" x14ac:dyDescent="0.3">
      <c r="C43" s="12">
        <v>13</v>
      </c>
      <c r="D43" s="14">
        <f t="shared" si="3"/>
        <v>6352.0451530280188</v>
      </c>
      <c r="E43" s="13">
        <f t="shared" si="0"/>
        <v>1733.0081165868178</v>
      </c>
      <c r="F43" s="14">
        <f t="shared" si="1"/>
        <v>4619.0370364412011</v>
      </c>
      <c r="G43" s="13">
        <f t="shared" si="2"/>
        <v>391497.10389768856</v>
      </c>
    </row>
    <row r="44" spans="3:7" x14ac:dyDescent="0.3">
      <c r="C44" s="12">
        <v>14</v>
      </c>
      <c r="D44" s="14">
        <f t="shared" si="3"/>
        <v>6352.0451530280188</v>
      </c>
      <c r="E44" s="13">
        <f t="shared" si="0"/>
        <v>1712.7998295523873</v>
      </c>
      <c r="F44" s="14">
        <f t="shared" si="1"/>
        <v>4639.2453234756313</v>
      </c>
      <c r="G44" s="13">
        <f t="shared" si="2"/>
        <v>386857.85857421294</v>
      </c>
    </row>
    <row r="45" spans="3:7" x14ac:dyDescent="0.3">
      <c r="C45" s="12">
        <v>15</v>
      </c>
      <c r="D45" s="14">
        <f t="shared" si="3"/>
        <v>6352.0451530280188</v>
      </c>
      <c r="E45" s="13">
        <f t="shared" si="0"/>
        <v>1692.5031312621816</v>
      </c>
      <c r="F45" s="14">
        <f t="shared" si="1"/>
        <v>4659.5420217658375</v>
      </c>
      <c r="G45" s="13">
        <f t="shared" si="2"/>
        <v>382198.3165524471</v>
      </c>
    </row>
    <row r="46" spans="3:7" x14ac:dyDescent="0.3">
      <c r="C46" s="12">
        <v>16</v>
      </c>
      <c r="D46" s="14">
        <f t="shared" si="3"/>
        <v>6352.0451530280188</v>
      </c>
      <c r="E46" s="13">
        <f t="shared" si="0"/>
        <v>1672.1176349169561</v>
      </c>
      <c r="F46" s="14">
        <f t="shared" si="1"/>
        <v>4679.9275181110625</v>
      </c>
      <c r="G46" s="13">
        <f t="shared" si="2"/>
        <v>377518.38903433603</v>
      </c>
    </row>
    <row r="47" spans="3:7" x14ac:dyDescent="0.3">
      <c r="C47" s="12">
        <v>17</v>
      </c>
      <c r="D47" s="14">
        <f t="shared" si="3"/>
        <v>6352.0451530280188</v>
      </c>
      <c r="E47" s="13">
        <f t="shared" si="0"/>
        <v>1651.6429520252202</v>
      </c>
      <c r="F47" s="14">
        <f t="shared" si="1"/>
        <v>4700.4022010027984</v>
      </c>
      <c r="G47" s="13">
        <f t="shared" si="2"/>
        <v>372817.98683333321</v>
      </c>
    </row>
    <row r="48" spans="3:7" x14ac:dyDescent="0.3">
      <c r="C48" s="12">
        <v>18</v>
      </c>
      <c r="D48" s="14">
        <f t="shared" si="3"/>
        <v>6352.0451530280188</v>
      </c>
      <c r="E48" s="13">
        <f t="shared" si="0"/>
        <v>1631.0786923958328</v>
      </c>
      <c r="F48" s="14">
        <f t="shared" si="1"/>
        <v>4720.9664606321858</v>
      </c>
      <c r="G48" s="13">
        <f t="shared" si="2"/>
        <v>368097.02037270105</v>
      </c>
    </row>
    <row r="49" spans="3:7" x14ac:dyDescent="0.3">
      <c r="C49" s="12">
        <v>19</v>
      </c>
      <c r="D49" s="14">
        <f t="shared" si="3"/>
        <v>6352.0451530280188</v>
      </c>
      <c r="E49" s="13">
        <f t="shared" si="0"/>
        <v>1610.424464130567</v>
      </c>
      <c r="F49" s="14">
        <f t="shared" si="1"/>
        <v>4741.6206888974521</v>
      </c>
      <c r="G49" s="13">
        <f t="shared" si="2"/>
        <v>363355.39968380361</v>
      </c>
    </row>
    <row r="50" spans="3:7" x14ac:dyDescent="0.3">
      <c r="C50" s="12">
        <v>20</v>
      </c>
      <c r="D50" s="14">
        <f t="shared" si="3"/>
        <v>6352.0451530280188</v>
      </c>
      <c r="E50" s="13">
        <f t="shared" si="0"/>
        <v>1589.6798736166409</v>
      </c>
      <c r="F50" s="14">
        <f t="shared" si="1"/>
        <v>4762.3652794113777</v>
      </c>
      <c r="G50" s="13">
        <f t="shared" si="2"/>
        <v>358593.03440439224</v>
      </c>
    </row>
    <row r="51" spans="3:7" x14ac:dyDescent="0.3">
      <c r="C51" s="12">
        <v>21</v>
      </c>
      <c r="D51" s="14">
        <f t="shared" si="3"/>
        <v>6352.0451530280188</v>
      </c>
      <c r="E51" s="13">
        <f t="shared" si="0"/>
        <v>1568.8445255192162</v>
      </c>
      <c r="F51" s="14">
        <f t="shared" si="1"/>
        <v>4783.2006275088024</v>
      </c>
      <c r="G51" s="13">
        <f t="shared" si="2"/>
        <v>353809.83377688343</v>
      </c>
    </row>
    <row r="52" spans="3:7" x14ac:dyDescent="0.3">
      <c r="C52" s="12">
        <v>22</v>
      </c>
      <c r="D52" s="14">
        <f t="shared" si="3"/>
        <v>6352.0451530280188</v>
      </c>
      <c r="E52" s="13">
        <f t="shared" si="0"/>
        <v>1547.918022773865</v>
      </c>
      <c r="F52" s="14">
        <f t="shared" si="1"/>
        <v>4804.1271302541536</v>
      </c>
      <c r="G52" s="13">
        <f t="shared" si="2"/>
        <v>349005.70664662926</v>
      </c>
    </row>
    <row r="53" spans="3:7" x14ac:dyDescent="0.3">
      <c r="C53" s="12">
        <v>23</v>
      </c>
      <c r="D53" s="14">
        <f t="shared" si="3"/>
        <v>6352.0451530280188</v>
      </c>
      <c r="E53" s="13">
        <f t="shared" si="0"/>
        <v>1526.8999665790031</v>
      </c>
      <c r="F53" s="14">
        <f t="shared" si="1"/>
        <v>4825.1451864490155</v>
      </c>
      <c r="G53" s="13">
        <f t="shared" si="2"/>
        <v>344180.56146018027</v>
      </c>
    </row>
    <row r="54" spans="3:7" x14ac:dyDescent="0.3">
      <c r="C54" s="12">
        <v>24</v>
      </c>
      <c r="D54" s="14">
        <f t="shared" si="3"/>
        <v>6352.0451530280188</v>
      </c>
      <c r="E54" s="13">
        <f t="shared" si="0"/>
        <v>1505.7899563882886</v>
      </c>
      <c r="F54" s="14">
        <f t="shared" si="1"/>
        <v>4846.2551966397305</v>
      </c>
      <c r="G54" s="13">
        <f t="shared" si="2"/>
        <v>339334.30626354052</v>
      </c>
    </row>
    <row r="55" spans="3:7" x14ac:dyDescent="0.3">
      <c r="C55" s="12">
        <v>25</v>
      </c>
      <c r="D55" s="14">
        <f t="shared" si="3"/>
        <v>6352.0451530280188</v>
      </c>
      <c r="E55" s="13">
        <f t="shared" si="0"/>
        <v>1484.5875899029897</v>
      </c>
      <c r="F55" s="14">
        <f t="shared" si="1"/>
        <v>4867.4575631250291</v>
      </c>
      <c r="G55" s="13">
        <f t="shared" si="2"/>
        <v>334466.84870041552</v>
      </c>
    </row>
    <row r="56" spans="3:7" x14ac:dyDescent="0.3">
      <c r="C56" s="12">
        <v>26</v>
      </c>
      <c r="D56" s="14">
        <f t="shared" si="3"/>
        <v>6352.0451530280188</v>
      </c>
      <c r="E56" s="13">
        <f t="shared" si="0"/>
        <v>1463.2924630643176</v>
      </c>
      <c r="F56" s="14">
        <f t="shared" si="1"/>
        <v>4888.7526899637014</v>
      </c>
      <c r="G56" s="13">
        <f t="shared" si="2"/>
        <v>329578.09601045179</v>
      </c>
    </row>
    <row r="57" spans="3:7" x14ac:dyDescent="0.3">
      <c r="C57" s="12">
        <v>27</v>
      </c>
      <c r="D57" s="14">
        <f t="shared" si="3"/>
        <v>6352.0451530280188</v>
      </c>
      <c r="E57" s="13">
        <f t="shared" si="0"/>
        <v>1441.9041700457265</v>
      </c>
      <c r="F57" s="14">
        <f t="shared" si="1"/>
        <v>4910.1409829822924</v>
      </c>
      <c r="G57" s="13">
        <f t="shared" si="2"/>
        <v>324667.95502746949</v>
      </c>
    </row>
    <row r="58" spans="3:7" x14ac:dyDescent="0.3">
      <c r="C58" s="12">
        <v>28</v>
      </c>
      <c r="D58" s="14">
        <f t="shared" si="3"/>
        <v>6352.0451530280188</v>
      </c>
      <c r="E58" s="13">
        <f t="shared" si="0"/>
        <v>1420.4223032451789</v>
      </c>
      <c r="F58" s="14">
        <f t="shared" si="1"/>
        <v>4931.6228497828397</v>
      </c>
      <c r="G58" s="13">
        <f t="shared" si="2"/>
        <v>319736.33217768668</v>
      </c>
    </row>
    <row r="59" spans="3:7" x14ac:dyDescent="0.3">
      <c r="C59" s="12">
        <v>29</v>
      </c>
      <c r="D59" s="14">
        <f t="shared" si="3"/>
        <v>6352.0451530280188</v>
      </c>
      <c r="E59" s="13">
        <f t="shared" si="0"/>
        <v>1398.8464532773794</v>
      </c>
      <c r="F59" s="14">
        <f t="shared" si="1"/>
        <v>4953.1986997506392</v>
      </c>
      <c r="G59" s="13">
        <f t="shared" si="2"/>
        <v>314783.13347793603</v>
      </c>
    </row>
    <row r="60" spans="3:7" x14ac:dyDescent="0.3">
      <c r="C60" s="12">
        <v>30</v>
      </c>
      <c r="D60" s="14">
        <f t="shared" si="3"/>
        <v>6352.0451530280188</v>
      </c>
      <c r="E60" s="13">
        <f t="shared" si="0"/>
        <v>1377.1762089659703</v>
      </c>
      <c r="F60" s="14">
        <f t="shared" si="1"/>
        <v>4974.8689440620483</v>
      </c>
      <c r="G60" s="13">
        <f t="shared" si="2"/>
        <v>309808.264533874</v>
      </c>
    </row>
    <row r="61" spans="3:7" x14ac:dyDescent="0.3">
      <c r="C61" s="12">
        <v>31</v>
      </c>
      <c r="D61" s="14">
        <f t="shared" si="3"/>
        <v>6352.0451530280188</v>
      </c>
      <c r="E61" s="13">
        <f t="shared" si="0"/>
        <v>1355.4111573356988</v>
      </c>
      <c r="F61" s="14">
        <f t="shared" si="1"/>
        <v>4996.6339956923202</v>
      </c>
      <c r="G61" s="13">
        <f t="shared" si="2"/>
        <v>304811.63053818169</v>
      </c>
    </row>
    <row r="62" spans="3:7" x14ac:dyDescent="0.3">
      <c r="C62" s="12">
        <v>32</v>
      </c>
      <c r="D62" s="14">
        <f t="shared" si="3"/>
        <v>6352.0451530280188</v>
      </c>
      <c r="E62" s="13">
        <f t="shared" si="0"/>
        <v>1333.5508836045449</v>
      </c>
      <c r="F62" s="14">
        <f t="shared" si="1"/>
        <v>5018.4942694234742</v>
      </c>
      <c r="G62" s="13">
        <f t="shared" si="2"/>
        <v>299793.13626875822</v>
      </c>
    </row>
    <row r="63" spans="3:7" x14ac:dyDescent="0.3">
      <c r="C63" s="12">
        <v>33</v>
      </c>
      <c r="D63" s="14">
        <f t="shared" si="3"/>
        <v>6352.0451530280188</v>
      </c>
      <c r="E63" s="13">
        <f t="shared" ref="E63:E90" si="4">IF(C63&gt;Term*Periods,"",G62*Rate/Periods)</f>
        <v>1311.5949711758171</v>
      </c>
      <c r="F63" s="14">
        <f t="shared" ref="F63:F90" si="5">IF(C63&gt;Term*Periods,"",D63-E63)</f>
        <v>5040.4501818522021</v>
      </c>
      <c r="G63" s="13">
        <f t="shared" ref="G63:G90" si="6">IF(C63&gt;Term*Periods,"",G62-F63)</f>
        <v>294752.686086906</v>
      </c>
    </row>
    <row r="64" spans="3:7" x14ac:dyDescent="0.3">
      <c r="C64" s="12">
        <v>34</v>
      </c>
      <c r="D64" s="14">
        <f t="shared" ref="D64:D90" si="7">IF(C64&gt;Term*Periods,"",IF(C64=Term*Periods,$D$31+$F$24,$D$31))</f>
        <v>6352.0451530280188</v>
      </c>
      <c r="E64" s="13">
        <f t="shared" si="4"/>
        <v>1289.5430016302137</v>
      </c>
      <c r="F64" s="14">
        <f t="shared" si="5"/>
        <v>5062.5021513978054</v>
      </c>
      <c r="G64" s="13">
        <f t="shared" si="6"/>
        <v>289690.18393550819</v>
      </c>
    </row>
    <row r="65" spans="3:7" x14ac:dyDescent="0.3">
      <c r="C65" s="12">
        <v>35</v>
      </c>
      <c r="D65" s="14">
        <f t="shared" si="7"/>
        <v>6352.0451530280188</v>
      </c>
      <c r="E65" s="13">
        <f t="shared" si="4"/>
        <v>1267.3945547178482</v>
      </c>
      <c r="F65" s="14">
        <f t="shared" si="5"/>
        <v>5084.6505983101706</v>
      </c>
      <c r="G65" s="13">
        <f t="shared" si="6"/>
        <v>284605.53333719802</v>
      </c>
    </row>
    <row r="66" spans="3:7" x14ac:dyDescent="0.3">
      <c r="C66" s="12">
        <v>36</v>
      </c>
      <c r="D66" s="14">
        <f t="shared" si="7"/>
        <v>6352.0451530280188</v>
      </c>
      <c r="E66" s="13">
        <f t="shared" si="4"/>
        <v>1245.1492083502415</v>
      </c>
      <c r="F66" s="14">
        <f t="shared" si="5"/>
        <v>5106.8959446777772</v>
      </c>
      <c r="G66" s="13">
        <f t="shared" si="6"/>
        <v>279498.63739252026</v>
      </c>
    </row>
    <row r="67" spans="3:7" x14ac:dyDescent="0.3">
      <c r="C67" s="12">
        <v>37</v>
      </c>
      <c r="D67" s="14">
        <f t="shared" si="7"/>
        <v>6352.0451530280188</v>
      </c>
      <c r="E67" s="13">
        <f t="shared" si="4"/>
        <v>1222.8065385922762</v>
      </c>
      <c r="F67" s="14">
        <f t="shared" si="5"/>
        <v>5129.2386144357424</v>
      </c>
      <c r="G67" s="13">
        <f t="shared" si="6"/>
        <v>274369.39877808455</v>
      </c>
    </row>
    <row r="68" spans="3:7" x14ac:dyDescent="0.3">
      <c r="C68" s="12">
        <v>38</v>
      </c>
      <c r="D68" s="14">
        <f t="shared" si="7"/>
        <v>6352.0451530280188</v>
      </c>
      <c r="E68" s="13">
        <f t="shared" si="4"/>
        <v>1200.36611965412</v>
      </c>
      <c r="F68" s="14">
        <f t="shared" si="5"/>
        <v>5151.6790333738991</v>
      </c>
      <c r="G68" s="13">
        <f t="shared" si="6"/>
        <v>269217.71974471066</v>
      </c>
    </row>
    <row r="69" spans="3:7" x14ac:dyDescent="0.3">
      <c r="C69" s="12">
        <v>39</v>
      </c>
      <c r="D69" s="14">
        <f t="shared" si="7"/>
        <v>6352.0451530280188</v>
      </c>
      <c r="E69" s="13">
        <f t="shared" si="4"/>
        <v>1177.8275238831091</v>
      </c>
      <c r="F69" s="14">
        <f t="shared" si="5"/>
        <v>5174.2176291449096</v>
      </c>
      <c r="G69" s="13">
        <f t="shared" si="6"/>
        <v>264043.50211556576</v>
      </c>
    </row>
    <row r="70" spans="3:7" x14ac:dyDescent="0.3">
      <c r="C70" s="12">
        <v>40</v>
      </c>
      <c r="D70" s="14">
        <f t="shared" si="7"/>
        <v>6352.0451530280188</v>
      </c>
      <c r="E70" s="13">
        <f t="shared" si="4"/>
        <v>1155.1903217556003</v>
      </c>
      <c r="F70" s="14">
        <f t="shared" si="5"/>
        <v>5196.8548312724188</v>
      </c>
      <c r="G70" s="13">
        <f t="shared" si="6"/>
        <v>258846.64728429334</v>
      </c>
    </row>
    <row r="71" spans="3:7" x14ac:dyDescent="0.3">
      <c r="C71" s="12">
        <v>41</v>
      </c>
      <c r="D71" s="14">
        <f t="shared" si="7"/>
        <v>6352.0451530280188</v>
      </c>
      <c r="E71" s="13">
        <f t="shared" si="4"/>
        <v>1132.4540818687833</v>
      </c>
      <c r="F71" s="14">
        <f t="shared" si="5"/>
        <v>5219.5910711592351</v>
      </c>
      <c r="G71" s="13">
        <f t="shared" si="6"/>
        <v>253627.05621313411</v>
      </c>
    </row>
    <row r="72" spans="3:7" x14ac:dyDescent="0.3">
      <c r="C72" s="12">
        <v>42</v>
      </c>
      <c r="D72" s="14">
        <f t="shared" si="7"/>
        <v>6352.0451530280188</v>
      </c>
      <c r="E72" s="13">
        <f t="shared" si="4"/>
        <v>1109.6183709324616</v>
      </c>
      <c r="F72" s="14">
        <f t="shared" si="5"/>
        <v>5242.4267820955574</v>
      </c>
      <c r="G72" s="13">
        <f t="shared" si="6"/>
        <v>248384.62943103857</v>
      </c>
    </row>
    <row r="73" spans="3:7" x14ac:dyDescent="0.3">
      <c r="C73" s="12">
        <v>43</v>
      </c>
      <c r="D73" s="14">
        <f t="shared" si="7"/>
        <v>6352.0451530280188</v>
      </c>
      <c r="E73" s="13">
        <f t="shared" si="4"/>
        <v>1086.6827537607937</v>
      </c>
      <c r="F73" s="14">
        <f t="shared" si="5"/>
        <v>5265.3623992672256</v>
      </c>
      <c r="G73" s="13">
        <f t="shared" si="6"/>
        <v>243119.26703177133</v>
      </c>
    </row>
    <row r="74" spans="3:7" x14ac:dyDescent="0.3">
      <c r="C74" s="12">
        <v>44</v>
      </c>
      <c r="D74" s="14">
        <f t="shared" si="7"/>
        <v>6352.0451530280188</v>
      </c>
      <c r="E74" s="13">
        <f t="shared" si="4"/>
        <v>1063.6467932639996</v>
      </c>
      <c r="F74" s="14">
        <f t="shared" si="5"/>
        <v>5288.398359764019</v>
      </c>
      <c r="G74" s="13">
        <f t="shared" si="6"/>
        <v>237830.86867200732</v>
      </c>
    </row>
    <row r="75" spans="3:7" x14ac:dyDescent="0.3">
      <c r="C75" s="12">
        <v>45</v>
      </c>
      <c r="D75" s="14">
        <f t="shared" si="7"/>
        <v>6352.0451530280188</v>
      </c>
      <c r="E75" s="13">
        <f t="shared" si="4"/>
        <v>1040.510050440032</v>
      </c>
      <c r="F75" s="14">
        <f t="shared" si="5"/>
        <v>5311.5351025879863</v>
      </c>
      <c r="G75" s="13">
        <f t="shared" si="6"/>
        <v>232519.33356941934</v>
      </c>
    </row>
    <row r="76" spans="3:7" x14ac:dyDescent="0.3">
      <c r="C76" s="12">
        <v>46</v>
      </c>
      <c r="D76" s="14">
        <f t="shared" si="7"/>
        <v>6352.0451530280188</v>
      </c>
      <c r="E76" s="13">
        <f t="shared" si="4"/>
        <v>1017.2720843662096</v>
      </c>
      <c r="F76" s="14">
        <f t="shared" si="5"/>
        <v>5334.7730686618088</v>
      </c>
      <c r="G76" s="13">
        <f t="shared" si="6"/>
        <v>227184.56050075754</v>
      </c>
    </row>
    <row r="77" spans="3:7" x14ac:dyDescent="0.3">
      <c r="C77" s="12">
        <v>47</v>
      </c>
      <c r="D77" s="14">
        <f t="shared" si="7"/>
        <v>6352.0451530280188</v>
      </c>
      <c r="E77" s="13">
        <f t="shared" si="4"/>
        <v>993.93245219081416</v>
      </c>
      <c r="F77" s="14">
        <f t="shared" si="5"/>
        <v>5358.112700837205</v>
      </c>
      <c r="G77" s="13">
        <f t="shared" si="6"/>
        <v>221826.44779992034</v>
      </c>
    </row>
    <row r="78" spans="3:7" x14ac:dyDescent="0.3">
      <c r="C78" s="12">
        <v>48</v>
      </c>
      <c r="D78" s="14">
        <f t="shared" si="7"/>
        <v>6352.0451530280188</v>
      </c>
      <c r="E78" s="13">
        <f t="shared" si="4"/>
        <v>970.4907091246514</v>
      </c>
      <c r="F78" s="14">
        <f t="shared" si="5"/>
        <v>5381.5544439033674</v>
      </c>
      <c r="G78" s="13">
        <f t="shared" si="6"/>
        <v>216444.89335601698</v>
      </c>
    </row>
    <row r="79" spans="3:7" x14ac:dyDescent="0.3">
      <c r="C79" s="12">
        <v>49</v>
      </c>
      <c r="D79" s="14">
        <f t="shared" si="7"/>
        <v>6352.0451530280188</v>
      </c>
      <c r="E79" s="13">
        <f t="shared" si="4"/>
        <v>946.94640843257423</v>
      </c>
      <c r="F79" s="14">
        <f t="shared" si="5"/>
        <v>5405.0987445954443</v>
      </c>
      <c r="G79" s="13">
        <f t="shared" si="6"/>
        <v>211039.79461142153</v>
      </c>
    </row>
    <row r="80" spans="3:7" x14ac:dyDescent="0.3">
      <c r="C80" s="12">
        <v>50</v>
      </c>
      <c r="D80" s="14">
        <f t="shared" si="7"/>
        <v>6352.0451530280188</v>
      </c>
      <c r="E80" s="13">
        <f t="shared" si="4"/>
        <v>923.29910142496919</v>
      </c>
      <c r="F80" s="14">
        <f t="shared" si="5"/>
        <v>5428.7460516030496</v>
      </c>
      <c r="G80" s="13">
        <f t="shared" si="6"/>
        <v>205611.04855981848</v>
      </c>
    </row>
    <row r="81" spans="3:7" x14ac:dyDescent="0.3">
      <c r="C81" s="12">
        <v>51</v>
      </c>
      <c r="D81" s="14">
        <f t="shared" si="7"/>
        <v>6352.0451530280188</v>
      </c>
      <c r="E81" s="13">
        <f t="shared" si="4"/>
        <v>899.54833744920586</v>
      </c>
      <c r="F81" s="14">
        <f t="shared" si="5"/>
        <v>5452.4968155788129</v>
      </c>
      <c r="G81" s="13">
        <f t="shared" si="6"/>
        <v>200158.55174423967</v>
      </c>
    </row>
    <row r="82" spans="3:7" x14ac:dyDescent="0.3">
      <c r="C82" s="12">
        <v>52</v>
      </c>
      <c r="D82" s="14">
        <f t="shared" si="7"/>
        <v>6352.0451530280188</v>
      </c>
      <c r="E82" s="13">
        <f t="shared" si="4"/>
        <v>875.69366388104845</v>
      </c>
      <c r="F82" s="14">
        <f t="shared" si="5"/>
        <v>5476.3514891469704</v>
      </c>
      <c r="G82" s="13">
        <f t="shared" si="6"/>
        <v>194682.2002550927</v>
      </c>
    </row>
    <row r="83" spans="3:7" x14ac:dyDescent="0.3">
      <c r="C83" s="12">
        <v>53</v>
      </c>
      <c r="D83" s="14">
        <f t="shared" si="7"/>
        <v>6352.0451530280188</v>
      </c>
      <c r="E83" s="13">
        <f t="shared" si="4"/>
        <v>851.73462611603054</v>
      </c>
      <c r="F83" s="14">
        <f t="shared" si="5"/>
        <v>5500.3105269119878</v>
      </c>
      <c r="G83" s="13">
        <f t="shared" si="6"/>
        <v>189181.88972818071</v>
      </c>
    </row>
    <row r="84" spans="3:7" x14ac:dyDescent="0.3">
      <c r="C84" s="12">
        <v>54</v>
      </c>
      <c r="D84" s="14">
        <f t="shared" si="7"/>
        <v>6352.0451530280188</v>
      </c>
      <c r="E84" s="13">
        <f t="shared" si="4"/>
        <v>827.67076756079052</v>
      </c>
      <c r="F84" s="14">
        <f t="shared" si="5"/>
        <v>5524.3743854672284</v>
      </c>
      <c r="G84" s="13">
        <f t="shared" si="6"/>
        <v>183657.51534271348</v>
      </c>
    </row>
    <row r="85" spans="3:7" x14ac:dyDescent="0.3">
      <c r="C85" s="12">
        <v>55</v>
      </c>
      <c r="D85" s="14">
        <f t="shared" si="7"/>
        <v>6352.0451530280188</v>
      </c>
      <c r="E85" s="13">
        <f t="shared" si="4"/>
        <v>803.5016296243715</v>
      </c>
      <c r="F85" s="14">
        <f t="shared" si="5"/>
        <v>5548.5435234036477</v>
      </c>
      <c r="G85" s="13">
        <f t="shared" si="6"/>
        <v>178108.97181930984</v>
      </c>
    </row>
    <row r="86" spans="3:7" x14ac:dyDescent="0.3">
      <c r="C86" s="12">
        <v>56</v>
      </c>
      <c r="D86" s="14">
        <f t="shared" si="7"/>
        <v>6352.0451530280188</v>
      </c>
      <c r="E86" s="13">
        <f t="shared" si="4"/>
        <v>779.22675170948048</v>
      </c>
      <c r="F86" s="14">
        <f t="shared" si="5"/>
        <v>5572.8184013185382</v>
      </c>
      <c r="G86" s="13">
        <f t="shared" si="6"/>
        <v>172536.1534179913</v>
      </c>
    </row>
    <row r="87" spans="3:7" x14ac:dyDescent="0.3">
      <c r="C87" s="12">
        <v>57</v>
      </c>
      <c r="D87" s="14">
        <f t="shared" si="7"/>
        <v>6352.0451530280188</v>
      </c>
      <c r="E87" s="13">
        <f t="shared" si="4"/>
        <v>754.84567120371185</v>
      </c>
      <c r="F87" s="14">
        <f t="shared" si="5"/>
        <v>5597.1994818243074</v>
      </c>
      <c r="G87" s="13">
        <f t="shared" si="6"/>
        <v>166938.953936167</v>
      </c>
    </row>
    <row r="88" spans="3:7" x14ac:dyDescent="0.3">
      <c r="C88" s="12">
        <v>58</v>
      </c>
      <c r="D88" s="14">
        <f t="shared" si="7"/>
        <v>6352.0451530280188</v>
      </c>
      <c r="E88" s="13">
        <f t="shared" si="4"/>
        <v>730.35792347073073</v>
      </c>
      <c r="F88" s="14">
        <f t="shared" si="5"/>
        <v>5621.6872295572884</v>
      </c>
      <c r="G88" s="13">
        <f t="shared" si="6"/>
        <v>161317.26670660972</v>
      </c>
    </row>
    <row r="89" spans="3:7" x14ac:dyDescent="0.3">
      <c r="C89" s="12">
        <v>59</v>
      </c>
      <c r="D89" s="14">
        <f t="shared" si="7"/>
        <v>6352.0451530280188</v>
      </c>
      <c r="E89" s="13">
        <f t="shared" si="4"/>
        <v>705.76304184141748</v>
      </c>
      <c r="F89" s="14">
        <f t="shared" si="5"/>
        <v>5646.2821111866015</v>
      </c>
      <c r="G89" s="13">
        <f t="shared" si="6"/>
        <v>155670.98459542313</v>
      </c>
    </row>
    <row r="90" spans="3:7" x14ac:dyDescent="0.3">
      <c r="C90" s="12">
        <v>60</v>
      </c>
      <c r="D90" s="14">
        <f t="shared" si="7"/>
        <v>156352.04515302801</v>
      </c>
      <c r="E90" s="13">
        <f t="shared" si="4"/>
        <v>681.06055760497622</v>
      </c>
      <c r="F90" s="14">
        <f t="shared" si="5"/>
        <v>155670.98459542304</v>
      </c>
      <c r="G90" s="13">
        <f t="shared" si="6"/>
        <v>8.7311491370201111E-11</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0.05</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30" zoomScaleNormal="130" workbookViewId="0"/>
  </sheetViews>
  <sheetFormatPr defaultColWidth="8.6640625" defaultRowHeight="14.4" x14ac:dyDescent="0.3"/>
  <cols>
    <col min="1" max="1" width="8.6640625" style="43"/>
    <col min="2" max="2" width="29.33203125" style="43" customWidth="1"/>
    <col min="3" max="3" width="12.6640625" style="43" customWidth="1"/>
    <col min="4" max="4" width="2.5546875" style="43" customWidth="1"/>
    <col min="5" max="5" width="15.6640625" style="43" customWidth="1"/>
    <col min="6" max="6" width="32" style="43" customWidth="1"/>
    <col min="7" max="7" width="16" style="43" customWidth="1"/>
    <col min="8" max="16384" width="8.6640625" style="43"/>
  </cols>
  <sheetData>
    <row r="18" spans="2:7" ht="15" thickBot="1" x14ac:dyDescent="0.35">
      <c r="B18" s="43" t="s">
        <v>60</v>
      </c>
      <c r="C18" s="44">
        <v>345000</v>
      </c>
      <c r="E18" s="43" t="s">
        <v>78</v>
      </c>
    </row>
    <row r="19" spans="2:7" ht="15" thickBot="1" x14ac:dyDescent="0.35">
      <c r="B19" s="43" t="s">
        <v>61</v>
      </c>
      <c r="C19" s="41">
        <v>5</v>
      </c>
      <c r="E19" s="43" t="s">
        <v>79</v>
      </c>
      <c r="G19" s="49">
        <f>PMT(C20/12,C19*12,-C18)</f>
        <v>6685.8703667060272</v>
      </c>
    </row>
    <row r="20" spans="2:7" x14ac:dyDescent="0.3">
      <c r="B20" s="43" t="s">
        <v>16</v>
      </c>
      <c r="C20" s="52">
        <v>6.0999999999999999E-2</v>
      </c>
    </row>
    <row r="21" spans="2:7" x14ac:dyDescent="0.3">
      <c r="B21" s="43" t="s">
        <v>62</v>
      </c>
      <c r="C21" s="44">
        <v>1500</v>
      </c>
      <c r="E21" s="43" t="s">
        <v>77</v>
      </c>
    </row>
    <row r="22" spans="2:7" ht="15" thickBot="1" x14ac:dyDescent="0.35">
      <c r="E22" s="43" t="s">
        <v>63</v>
      </c>
    </row>
    <row r="23" spans="2:7" ht="15" thickBot="1" x14ac:dyDescent="0.35">
      <c r="E23" s="43" t="s">
        <v>80</v>
      </c>
      <c r="G23" s="84">
        <f>NPER(C20/12,G19+C21,-C18)</f>
        <v>47.551000910920187</v>
      </c>
    </row>
    <row r="25" spans="2:7" x14ac:dyDescent="0.3">
      <c r="E25" s="43" t="s">
        <v>64</v>
      </c>
    </row>
    <row r="26" spans="2:7" x14ac:dyDescent="0.3">
      <c r="E26" s="43" t="s">
        <v>65</v>
      </c>
    </row>
    <row r="27" spans="2:7" x14ac:dyDescent="0.3">
      <c r="E27" s="43" t="s">
        <v>66</v>
      </c>
    </row>
    <row r="28" spans="2:7" x14ac:dyDescent="0.3">
      <c r="E28" s="43" t="s">
        <v>67</v>
      </c>
    </row>
    <row r="29" spans="2:7" x14ac:dyDescent="0.3">
      <c r="E29" s="43" t="s">
        <v>68</v>
      </c>
    </row>
    <row r="30" spans="2:7" ht="15" thickBot="1" x14ac:dyDescent="0.35">
      <c r="E30" s="43" t="s">
        <v>69</v>
      </c>
    </row>
    <row r="31" spans="2:7" ht="15" thickBot="1" x14ac:dyDescent="0.35">
      <c r="E31" s="43" t="s">
        <v>70</v>
      </c>
      <c r="G31" s="5">
        <f>(G19*C19*12)-(G23*(G19+C21))</f>
        <v>11905.892738448747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G43"/>
  <sheetViews>
    <sheetView zoomScale="115" zoomScaleNormal="115" workbookViewId="0"/>
  </sheetViews>
  <sheetFormatPr defaultColWidth="8.6640625" defaultRowHeight="14.4" x14ac:dyDescent="0.3"/>
  <cols>
    <col min="1" max="1" width="8.6640625" style="43"/>
    <col min="2" max="2" width="29.33203125" style="43" customWidth="1"/>
    <col min="3" max="3" width="12.6640625" style="43" customWidth="1"/>
    <col min="4" max="4" width="2.5546875" style="43" customWidth="1"/>
    <col min="5" max="5" width="15.6640625" style="43" customWidth="1"/>
    <col min="6" max="6" width="32" style="43" customWidth="1"/>
    <col min="7" max="7" width="16" style="43" customWidth="1"/>
    <col min="8" max="16384" width="8.6640625" style="43"/>
  </cols>
  <sheetData>
    <row r="25" spans="2:7" ht="15" thickBot="1" x14ac:dyDescent="0.35">
      <c r="B25" s="43" t="s">
        <v>60</v>
      </c>
      <c r="C25" s="44">
        <v>345000</v>
      </c>
      <c r="E25" s="43" t="s">
        <v>78</v>
      </c>
    </row>
    <row r="26" spans="2:7" ht="15" thickBot="1" x14ac:dyDescent="0.35">
      <c r="B26" s="43" t="s">
        <v>16</v>
      </c>
      <c r="C26" s="52">
        <v>6.0999999999999999E-2</v>
      </c>
      <c r="E26" s="43" t="s">
        <v>79</v>
      </c>
      <c r="G26" s="49">
        <f>PMT(C26/12,60,-C25)</f>
        <v>6685.8703667060272</v>
      </c>
    </row>
    <row r="27" spans="2:7" x14ac:dyDescent="0.3">
      <c r="C27" s="44"/>
    </row>
    <row r="28" spans="2:7" x14ac:dyDescent="0.3">
      <c r="E28" s="43" t="s">
        <v>185</v>
      </c>
      <c r="G28" s="43">
        <f>C25*0.005</f>
        <v>1725</v>
      </c>
    </row>
    <row r="30" spans="2:7" x14ac:dyDescent="0.3">
      <c r="E30" s="43" t="s">
        <v>175</v>
      </c>
      <c r="G30" s="43">
        <f>-PV(C26/12,24,G28)</f>
        <v>38881.402523822464</v>
      </c>
    </row>
    <row r="32" spans="2:7" x14ac:dyDescent="0.3">
      <c r="E32" s="43" t="s">
        <v>176</v>
      </c>
      <c r="G32" s="43">
        <f>C25-G30</f>
        <v>306118.59747617756</v>
      </c>
    </row>
    <row r="34" spans="5:7" ht="15" thickBot="1" x14ac:dyDescent="0.35">
      <c r="E34" s="43" t="s">
        <v>177</v>
      </c>
    </row>
    <row r="35" spans="5:7" ht="15" thickBot="1" x14ac:dyDescent="0.35">
      <c r="E35" s="43" t="s">
        <v>178</v>
      </c>
      <c r="G35" s="84">
        <f>NPER(C26/12,G26,-G32)</f>
        <v>52.250925908817024</v>
      </c>
    </row>
    <row r="37" spans="5:7" x14ac:dyDescent="0.3">
      <c r="E37" s="43" t="s">
        <v>64</v>
      </c>
    </row>
    <row r="38" spans="5:7" x14ac:dyDescent="0.3">
      <c r="E38" s="43" t="s">
        <v>183</v>
      </c>
    </row>
    <row r="39" spans="5:7" x14ac:dyDescent="0.3">
      <c r="E39" s="43" t="s">
        <v>180</v>
      </c>
    </row>
    <row r="40" spans="5:7" x14ac:dyDescent="0.3">
      <c r="E40" s="43" t="s">
        <v>179</v>
      </c>
    </row>
    <row r="41" spans="5:7" x14ac:dyDescent="0.3">
      <c r="E41" s="43" t="s">
        <v>184</v>
      </c>
    </row>
    <row r="42" spans="5:7" ht="15" thickBot="1" x14ac:dyDescent="0.35">
      <c r="E42" s="43" t="s">
        <v>181</v>
      </c>
    </row>
    <row r="43" spans="5:7" ht="15" thickBot="1" x14ac:dyDescent="0.35">
      <c r="E43" s="43" t="s">
        <v>182</v>
      </c>
      <c r="G43" s="5">
        <f>G26*60-(G35*G26+G28*24)</f>
        <v>10409.304835649673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30" zoomScaleNormal="130" workbookViewId="0"/>
  </sheetViews>
  <sheetFormatPr defaultColWidth="9.109375" defaultRowHeight="14.4" x14ac:dyDescent="0.3"/>
  <cols>
    <col min="1" max="1" width="4.33203125" style="104" customWidth="1"/>
    <col min="2" max="5" width="9.109375" style="104"/>
    <col min="6" max="6" width="13.33203125" style="104" bestFit="1" customWidth="1"/>
    <col min="7" max="7" width="12" style="104" customWidth="1"/>
    <col min="8" max="8" width="12.109375" style="104" customWidth="1"/>
    <col min="9" max="9" width="14.109375" style="104" customWidth="1"/>
    <col min="10" max="16384" width="9.109375" style="104"/>
  </cols>
  <sheetData>
    <row r="2" spans="2:11" x14ac:dyDescent="0.3">
      <c r="B2" s="96" t="s">
        <v>134</v>
      </c>
    </row>
    <row r="4" spans="2:11" x14ac:dyDescent="0.3">
      <c r="B4" s="96" t="s">
        <v>59</v>
      </c>
    </row>
    <row r="5" spans="2:11" s="96" customFormat="1" x14ac:dyDescent="0.3">
      <c r="B5" s="7" t="s">
        <v>8</v>
      </c>
      <c r="F5" s="106">
        <v>345000</v>
      </c>
    </row>
    <row r="6" spans="2:11" s="96" customFormat="1" x14ac:dyDescent="0.3">
      <c r="B6" s="7" t="s">
        <v>135</v>
      </c>
      <c r="F6" s="107">
        <v>5</v>
      </c>
    </row>
    <row r="7" spans="2:11" s="96" customFormat="1" x14ac:dyDescent="0.3">
      <c r="B7" s="7" t="s">
        <v>9</v>
      </c>
      <c r="F7" s="108">
        <v>6.0999999999999999E-2</v>
      </c>
    </row>
    <row r="8" spans="2:11" s="96" customFormat="1" x14ac:dyDescent="0.3">
      <c r="B8" s="7"/>
      <c r="F8" s="109"/>
    </row>
    <row r="9" spans="2:11" s="96" customFormat="1" x14ac:dyDescent="0.3">
      <c r="B9" s="7" t="s">
        <v>119</v>
      </c>
      <c r="F9" s="112">
        <v>10</v>
      </c>
    </row>
    <row r="10" spans="2:11" s="96" customFormat="1" x14ac:dyDescent="0.3">
      <c r="B10" s="7"/>
    </row>
    <row r="11" spans="2:11" x14ac:dyDescent="0.3">
      <c r="B11" s="110" t="s">
        <v>120</v>
      </c>
    </row>
    <row r="12" spans="2:11" x14ac:dyDescent="0.3">
      <c r="B12" s="110" t="s">
        <v>121</v>
      </c>
    </row>
    <row r="13" spans="2:11" x14ac:dyDescent="0.3">
      <c r="B13" s="110" t="s">
        <v>122</v>
      </c>
    </row>
    <row r="14" spans="2:11" x14ac:dyDescent="0.3">
      <c r="B14" s="110" t="s">
        <v>123</v>
      </c>
    </row>
    <row r="15" spans="2:11" ht="15" thickBot="1" x14ac:dyDescent="0.35"/>
    <row r="16" spans="2:11" ht="15" thickBot="1" x14ac:dyDescent="0.35">
      <c r="B16" s="130" t="s">
        <v>124</v>
      </c>
      <c r="C16" s="130"/>
      <c r="D16" s="130"/>
      <c r="E16" s="130"/>
      <c r="F16" s="130"/>
      <c r="G16" s="130"/>
      <c r="H16" s="130"/>
      <c r="I16" s="130"/>
      <c r="J16" s="130"/>
      <c r="K16" s="130"/>
    </row>
    <row r="18" spans="2:11" x14ac:dyDescent="0.3">
      <c r="B18" s="111" t="s">
        <v>125</v>
      </c>
    </row>
    <row r="19" spans="2:11" ht="15" thickBot="1" x14ac:dyDescent="0.35"/>
    <row r="20" spans="2:11" ht="15" thickBot="1" x14ac:dyDescent="0.35">
      <c r="C20" s="96" t="s">
        <v>126</v>
      </c>
      <c r="I20" s="49">
        <f>PMT(F7/12,F6*12,-F5)</f>
        <v>6685.8703667060272</v>
      </c>
    </row>
    <row r="21" spans="2:11" ht="15" thickBot="1" x14ac:dyDescent="0.35">
      <c r="C21" s="96" t="s">
        <v>127</v>
      </c>
      <c r="I21" s="49">
        <f>I28</f>
        <v>1523.4625511600334</v>
      </c>
    </row>
    <row r="22" spans="2:11" ht="15" thickBot="1" x14ac:dyDescent="0.35">
      <c r="C22" s="96" t="s">
        <v>128</v>
      </c>
      <c r="I22" s="49">
        <f t="shared" ref="I22:I23" si="0">I29</f>
        <v>5162.4078155459938</v>
      </c>
    </row>
    <row r="23" spans="2:11" ht="15" thickBot="1" x14ac:dyDescent="0.35">
      <c r="C23" s="96" t="s">
        <v>129</v>
      </c>
      <c r="I23" s="49">
        <f t="shared" si="0"/>
        <v>294535.14323232946</v>
      </c>
    </row>
    <row r="24" spans="2:11" ht="15" thickBot="1" x14ac:dyDescent="0.35"/>
    <row r="25" spans="2:11" ht="15" thickBot="1" x14ac:dyDescent="0.35">
      <c r="B25" s="130" t="s">
        <v>96</v>
      </c>
      <c r="C25" s="130"/>
      <c r="D25" s="130"/>
      <c r="E25" s="130"/>
      <c r="F25" s="130"/>
      <c r="G25" s="130"/>
      <c r="H25" s="130"/>
      <c r="I25" s="130"/>
      <c r="J25" s="130"/>
      <c r="K25" s="130"/>
    </row>
    <row r="27" spans="2:11" x14ac:dyDescent="0.3">
      <c r="C27" s="104" t="s">
        <v>130</v>
      </c>
      <c r="I27" s="91">
        <f>PV(F7/12,F6*12-F9+1,-I20)</f>
        <v>299697.55104787543</v>
      </c>
    </row>
    <row r="28" spans="2:11" x14ac:dyDescent="0.3">
      <c r="C28" s="104" t="s">
        <v>131</v>
      </c>
      <c r="I28" s="91">
        <f>I27*F7/12</f>
        <v>1523.4625511600334</v>
      </c>
    </row>
    <row r="29" spans="2:11" x14ac:dyDescent="0.3">
      <c r="C29" s="104" t="s">
        <v>132</v>
      </c>
      <c r="I29" s="91">
        <f>I20-I28</f>
        <v>5162.4078155459938</v>
      </c>
    </row>
    <row r="30" spans="2:11" x14ac:dyDescent="0.3">
      <c r="C30" s="104" t="s">
        <v>133</v>
      </c>
      <c r="I30" s="91">
        <f>I27-I29</f>
        <v>294535.14323232946</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7"/>
  <sheetViews>
    <sheetView zoomScale="130" zoomScaleNormal="130" workbookViewId="0"/>
  </sheetViews>
  <sheetFormatPr defaultRowHeight="14.4" x14ac:dyDescent="0.3"/>
  <cols>
    <col min="1" max="1" width="3.5546875" customWidth="1"/>
    <col min="2" max="2" width="5" customWidth="1"/>
    <col min="3" max="3" width="12.5546875" customWidth="1"/>
    <col min="4" max="4" width="16" customWidth="1"/>
    <col min="5" max="5" width="13.6640625" customWidth="1"/>
    <col min="6" max="6" width="10.33203125" customWidth="1"/>
    <col min="7" max="7" width="9.5546875" customWidth="1"/>
    <col min="8" max="8" width="12.33203125" bestFit="1" customWidth="1"/>
    <col min="9" max="9" width="10.21875" bestFit="1" customWidth="1"/>
    <col min="10" max="14" width="12.6640625" customWidth="1"/>
  </cols>
  <sheetData>
    <row r="2" spans="2:8" ht="23.4" x14ac:dyDescent="0.45">
      <c r="B2" s="1" t="s">
        <v>94</v>
      </c>
    </row>
    <row r="3" spans="2:8" ht="23.4" x14ac:dyDescent="0.45">
      <c r="B3" s="1"/>
    </row>
    <row r="4" spans="2:8" ht="23.4" x14ac:dyDescent="0.45">
      <c r="B4" s="1"/>
    </row>
    <row r="5" spans="2:8" ht="23.4" x14ac:dyDescent="0.45">
      <c r="B5" s="1"/>
    </row>
    <row r="6" spans="2:8" ht="23.4" x14ac:dyDescent="0.45">
      <c r="B6" s="1"/>
    </row>
    <row r="7" spans="2:8" ht="23.4" x14ac:dyDescent="0.45">
      <c r="B7" s="1"/>
    </row>
    <row r="10" spans="2:8" x14ac:dyDescent="0.3">
      <c r="H10" s="4"/>
    </row>
    <row r="11" spans="2:8" ht="14.7" customHeight="1" x14ac:dyDescent="0.3">
      <c r="B11" s="40" t="s">
        <v>0</v>
      </c>
      <c r="C11" s="100" t="s">
        <v>2</v>
      </c>
    </row>
    <row r="12" spans="2:8" ht="14.7" customHeight="1" x14ac:dyDescent="0.3">
      <c r="C12" s="100" t="s">
        <v>86</v>
      </c>
    </row>
    <row r="13" spans="2:8" ht="14.7" customHeight="1" x14ac:dyDescent="0.3">
      <c r="C13" s="100" t="s">
        <v>186</v>
      </c>
    </row>
    <row r="14" spans="2:8" ht="14.7" customHeight="1" x14ac:dyDescent="0.3">
      <c r="C14" s="100" t="s">
        <v>95</v>
      </c>
    </row>
    <row r="15" spans="2:8" ht="15" thickBot="1" x14ac:dyDescent="0.35"/>
    <row r="16" spans="2:8" ht="15" thickBot="1" x14ac:dyDescent="0.35">
      <c r="D16" s="59" t="s">
        <v>85</v>
      </c>
      <c r="E16" s="60" t="s">
        <v>4</v>
      </c>
      <c r="F16" s="57"/>
    </row>
    <row r="17" spans="3:10" x14ac:dyDescent="0.3">
      <c r="D17" s="61">
        <v>1</v>
      </c>
      <c r="E17" s="64">
        <v>0</v>
      </c>
      <c r="F17" s="57"/>
    </row>
    <row r="18" spans="3:10" ht="15" thickBot="1" x14ac:dyDescent="0.35">
      <c r="D18" s="63">
        <v>2</v>
      </c>
      <c r="E18" s="64">
        <v>0</v>
      </c>
      <c r="F18" s="57"/>
    </row>
    <row r="19" spans="3:10" ht="15" thickBot="1" x14ac:dyDescent="0.35">
      <c r="D19" s="63">
        <v>3</v>
      </c>
      <c r="E19" s="87">
        <v>6000</v>
      </c>
      <c r="F19" s="104" t="s">
        <v>5</v>
      </c>
      <c r="I19" s="123"/>
    </row>
    <row r="20" spans="3:10" x14ac:dyDescent="0.3">
      <c r="D20" s="63">
        <v>4</v>
      </c>
      <c r="E20" s="88">
        <f t="shared" ref="E20:E25" si="0">E19</f>
        <v>6000</v>
      </c>
      <c r="I20" s="123"/>
    </row>
    <row r="21" spans="3:10" x14ac:dyDescent="0.3">
      <c r="D21" s="63">
        <v>5</v>
      </c>
      <c r="E21" s="88">
        <f t="shared" si="0"/>
        <v>6000</v>
      </c>
      <c r="F21" s="57"/>
      <c r="H21" s="43"/>
      <c r="I21" s="123"/>
    </row>
    <row r="22" spans="3:10" x14ac:dyDescent="0.3">
      <c r="D22" s="63">
        <v>6</v>
      </c>
      <c r="E22" s="88">
        <f t="shared" si="0"/>
        <v>6000</v>
      </c>
      <c r="F22" s="57"/>
      <c r="H22" s="43"/>
      <c r="I22" s="123"/>
    </row>
    <row r="23" spans="3:10" x14ac:dyDescent="0.3">
      <c r="D23" s="63">
        <v>7</v>
      </c>
      <c r="E23" s="88">
        <f t="shared" si="0"/>
        <v>6000</v>
      </c>
      <c r="F23" s="57"/>
      <c r="H23" s="43"/>
      <c r="I23" s="123"/>
    </row>
    <row r="24" spans="3:10" x14ac:dyDescent="0.3">
      <c r="D24" s="63">
        <v>8</v>
      </c>
      <c r="E24" s="88">
        <f t="shared" si="0"/>
        <v>6000</v>
      </c>
      <c r="F24" s="57"/>
      <c r="H24" s="43"/>
      <c r="I24" s="123"/>
      <c r="J24" s="45"/>
    </row>
    <row r="25" spans="3:10" ht="15" thickBot="1" x14ac:dyDescent="0.35">
      <c r="D25" s="65">
        <v>9</v>
      </c>
      <c r="E25" s="88">
        <f t="shared" si="0"/>
        <v>6000</v>
      </c>
      <c r="F25" s="57"/>
      <c r="H25" s="43"/>
      <c r="I25" s="123"/>
    </row>
    <row r="26" spans="3:10" s="56" customFormat="1" ht="15" thickBot="1" x14ac:dyDescent="0.35">
      <c r="D26" s="58">
        <v>10</v>
      </c>
      <c r="E26" s="62">
        <v>7500</v>
      </c>
      <c r="F26" s="57" t="s">
        <v>5</v>
      </c>
      <c r="H26" s="43"/>
      <c r="I26" s="123"/>
    </row>
    <row r="28" spans="3:10" x14ac:dyDescent="0.3">
      <c r="C28" t="s">
        <v>87</v>
      </c>
      <c r="E28" s="3">
        <v>0.08</v>
      </c>
      <c r="I28" s="4"/>
    </row>
    <row r="30" spans="3:10" x14ac:dyDescent="0.3">
      <c r="C30" t="s">
        <v>88</v>
      </c>
    </row>
    <row r="31" spans="3:10" x14ac:dyDescent="0.3">
      <c r="C31" t="s">
        <v>89</v>
      </c>
    </row>
    <row r="32" spans="3:10" x14ac:dyDescent="0.3">
      <c r="C32" s="66" t="s">
        <v>136</v>
      </c>
    </row>
    <row r="33" spans="2:8" ht="15" thickBot="1" x14ac:dyDescent="0.35"/>
    <row r="34" spans="2:8" ht="15" thickBot="1" x14ac:dyDescent="0.35">
      <c r="C34" t="s">
        <v>90</v>
      </c>
      <c r="D34" s="131">
        <f>PV(E28,2,0,PV(E28,8,E19,E26-E25))</f>
        <v>30255.690148409445</v>
      </c>
      <c r="E34" s="132"/>
    </row>
    <row r="36" spans="2:8" x14ac:dyDescent="0.3">
      <c r="B36" s="70" t="s">
        <v>1</v>
      </c>
      <c r="C36" s="67" t="s">
        <v>97</v>
      </c>
      <c r="D36" s="67"/>
      <c r="E36" s="67"/>
      <c r="F36" s="67"/>
      <c r="G36" s="67"/>
      <c r="H36" s="67"/>
    </row>
    <row r="37" spans="2:8" s="66" customFormat="1" x14ac:dyDescent="0.3">
      <c r="B37" s="67"/>
      <c r="C37" s="72" t="s">
        <v>98</v>
      </c>
      <c r="D37" s="67"/>
      <c r="E37" s="67"/>
      <c r="F37" s="67"/>
      <c r="G37" s="67"/>
      <c r="H37" s="67"/>
    </row>
    <row r="38" spans="2:8" s="66" customFormat="1" x14ac:dyDescent="0.3">
      <c r="B38" s="67"/>
      <c r="C38" s="72" t="s">
        <v>137</v>
      </c>
      <c r="D38" s="67"/>
      <c r="E38" s="67"/>
      <c r="F38" s="67"/>
      <c r="G38" s="67"/>
      <c r="H38" s="67"/>
    </row>
    <row r="39" spans="2:8" s="66" customFormat="1" ht="15" thickBot="1" x14ac:dyDescent="0.35">
      <c r="B39" s="67"/>
      <c r="C39" s="67"/>
      <c r="D39" s="67"/>
      <c r="E39" s="67"/>
      <c r="F39" s="67"/>
      <c r="G39" s="67"/>
      <c r="H39" s="67"/>
    </row>
    <row r="40" spans="2:8" s="66" customFormat="1" ht="15" thickBot="1" x14ac:dyDescent="0.35">
      <c r="B40" s="67"/>
      <c r="C40" s="73" t="s">
        <v>99</v>
      </c>
      <c r="D40" s="67"/>
      <c r="E40" s="67"/>
      <c r="F40" s="74">
        <v>8.5000000000000006E-2</v>
      </c>
      <c r="G40" s="67"/>
      <c r="H40" s="67"/>
    </row>
    <row r="41" spans="2:8" s="66" customFormat="1" ht="15" thickBot="1" x14ac:dyDescent="0.35">
      <c r="B41" s="67"/>
      <c r="C41" s="67"/>
      <c r="D41" s="67"/>
      <c r="E41" s="68"/>
      <c r="F41" s="68"/>
      <c r="G41" s="67"/>
      <c r="H41" s="67"/>
    </row>
    <row r="42" spans="2:8" s="66" customFormat="1" ht="43.8" thickBot="1" x14ac:dyDescent="0.35">
      <c r="B42" s="67"/>
      <c r="C42" s="67"/>
      <c r="D42" s="67"/>
      <c r="E42" s="76" t="s">
        <v>100</v>
      </c>
      <c r="F42" s="76" t="s">
        <v>101</v>
      </c>
      <c r="G42" s="67"/>
      <c r="H42" s="67"/>
    </row>
    <row r="43" spans="2:8" s="66" customFormat="1" x14ac:dyDescent="0.3">
      <c r="B43" s="67"/>
      <c r="C43" s="67"/>
      <c r="D43" s="67"/>
      <c r="E43" s="69" t="s">
        <v>74</v>
      </c>
      <c r="F43" s="75">
        <f>FV(F40/4,4,0,-1)-1</f>
        <v>8.7747961721191148E-2</v>
      </c>
      <c r="G43" s="67"/>
      <c r="H43" s="67"/>
    </row>
    <row r="44" spans="2:8" s="66" customFormat="1" x14ac:dyDescent="0.3">
      <c r="B44" s="67"/>
      <c r="C44" s="67"/>
      <c r="D44" s="67"/>
      <c r="E44" s="69" t="s">
        <v>75</v>
      </c>
      <c r="F44" s="75">
        <f>FV(F40/12,12,0,-1)-1</f>
        <v>8.8390905892635541E-2</v>
      </c>
      <c r="G44" s="67"/>
      <c r="H44" s="67"/>
    </row>
    <row r="45" spans="2:8" s="66" customFormat="1" ht="15" thickBot="1" x14ac:dyDescent="0.35">
      <c r="B45" s="67"/>
      <c r="C45" s="67"/>
      <c r="D45" s="67"/>
      <c r="E45" s="69" t="s">
        <v>102</v>
      </c>
      <c r="F45" s="75">
        <f>FV(F40/365,365,0,-1)-1</f>
        <v>8.8706293108125722E-2</v>
      </c>
      <c r="G45" s="67"/>
      <c r="H45" s="67"/>
    </row>
    <row r="46" spans="2:8" s="66" customFormat="1" ht="15" thickBot="1" x14ac:dyDescent="0.35">
      <c r="B46" s="67"/>
      <c r="C46" s="67"/>
      <c r="D46" s="67"/>
      <c r="E46" s="77" t="s">
        <v>103</v>
      </c>
      <c r="F46" s="71">
        <f>EXP(F40)-1</f>
        <v>8.8717066698398739E-2</v>
      </c>
      <c r="G46" s="67"/>
      <c r="H46" s="67"/>
    </row>
    <row r="47" spans="2:8" s="66" customFormat="1" x14ac:dyDescent="0.3"/>
    <row r="48" spans="2:8" s="66" customFormat="1" x14ac:dyDescent="0.3"/>
    <row r="49" spans="2:12" x14ac:dyDescent="0.3">
      <c r="B49" s="54" t="s">
        <v>6</v>
      </c>
      <c r="C49" t="s">
        <v>189</v>
      </c>
      <c r="F49" s="124" t="s">
        <v>3</v>
      </c>
      <c r="G49" s="124" t="s">
        <v>187</v>
      </c>
    </row>
    <row r="50" spans="2:12" s="85" customFormat="1" x14ac:dyDescent="0.3">
      <c r="B50" s="86"/>
      <c r="F50" s="97">
        <v>1</v>
      </c>
      <c r="G50" s="125">
        <v>0</v>
      </c>
    </row>
    <row r="51" spans="2:12" s="85" customFormat="1" x14ac:dyDescent="0.3">
      <c r="B51" s="86"/>
      <c r="F51" s="97">
        <v>2</v>
      </c>
      <c r="G51" s="125">
        <v>0</v>
      </c>
    </row>
    <row r="52" spans="2:12" s="85" customFormat="1" ht="16.2" customHeight="1" x14ac:dyDescent="0.3">
      <c r="B52" s="86"/>
      <c r="D52" s="100"/>
      <c r="F52" s="97">
        <v>3</v>
      </c>
      <c r="G52" s="125">
        <v>2500</v>
      </c>
      <c r="I52" s="123"/>
    </row>
    <row r="53" spans="2:12" s="104" customFormat="1" ht="16.2" customHeight="1" x14ac:dyDescent="0.3">
      <c r="B53" s="86"/>
      <c r="F53" s="97">
        <v>4</v>
      </c>
      <c r="G53" s="125">
        <v>2500</v>
      </c>
      <c r="I53" s="123"/>
    </row>
    <row r="54" spans="2:12" s="104" customFormat="1" ht="16.2" customHeight="1" x14ac:dyDescent="0.3">
      <c r="B54" s="86"/>
      <c r="F54" s="97">
        <v>5</v>
      </c>
      <c r="G54" s="125">
        <v>2500</v>
      </c>
      <c r="I54" s="123"/>
    </row>
    <row r="55" spans="2:12" s="104" customFormat="1" ht="16.2" customHeight="1" x14ac:dyDescent="0.3">
      <c r="B55" s="86"/>
      <c r="F55" s="97">
        <v>6</v>
      </c>
      <c r="G55" s="125">
        <v>4000</v>
      </c>
      <c r="I55" s="123"/>
    </row>
    <row r="56" spans="2:12" s="104" customFormat="1" ht="16.2" customHeight="1" x14ac:dyDescent="0.3">
      <c r="B56" s="86"/>
      <c r="F56" s="97">
        <v>7</v>
      </c>
      <c r="G56" s="126" t="s">
        <v>188</v>
      </c>
      <c r="I56" s="123"/>
    </row>
    <row r="57" spans="2:12" s="104" customFormat="1" ht="16.2" customHeight="1" x14ac:dyDescent="0.3">
      <c r="B57" s="86"/>
      <c r="F57" s="97">
        <v>8</v>
      </c>
      <c r="G57" s="126" t="s">
        <v>188</v>
      </c>
      <c r="I57" s="123"/>
    </row>
    <row r="58" spans="2:12" s="104" customFormat="1" ht="16.2" customHeight="1" x14ac:dyDescent="0.3">
      <c r="B58" s="86"/>
      <c r="F58" s="97">
        <v>9</v>
      </c>
      <c r="G58" s="126" t="s">
        <v>188</v>
      </c>
      <c r="I58" s="123"/>
    </row>
    <row r="59" spans="2:12" s="104" customFormat="1" ht="16.2" customHeight="1" x14ac:dyDescent="0.3">
      <c r="B59" s="86"/>
      <c r="F59" s="97">
        <v>10</v>
      </c>
      <c r="G59" s="126" t="s">
        <v>188</v>
      </c>
      <c r="I59" s="123"/>
    </row>
    <row r="60" spans="2:12" s="104" customFormat="1" ht="16.2" customHeight="1" x14ac:dyDescent="0.3">
      <c r="B60" s="86"/>
      <c r="F60" s="97">
        <v>11</v>
      </c>
      <c r="G60" s="125">
        <v>4000</v>
      </c>
      <c r="I60" s="123"/>
    </row>
    <row r="61" spans="2:12" s="104" customFormat="1" ht="16.2" customHeight="1" x14ac:dyDescent="0.3">
      <c r="B61" s="86"/>
      <c r="F61" s="97">
        <v>12</v>
      </c>
      <c r="G61" s="125">
        <v>4000</v>
      </c>
      <c r="I61" s="123"/>
    </row>
    <row r="62" spans="2:12" s="85" customFormat="1" x14ac:dyDescent="0.3">
      <c r="B62" s="86"/>
    </row>
    <row r="63" spans="2:12" x14ac:dyDescent="0.3">
      <c r="C63" s="89" t="s">
        <v>190</v>
      </c>
      <c r="D63" s="89"/>
      <c r="E63" s="90">
        <f>PV(0.09,2,0,PV(0.09,4,G52,G55-G54))</f>
        <v>7711.4195010783824</v>
      </c>
      <c r="J63" s="89"/>
      <c r="K63" s="89"/>
      <c r="L63" s="90"/>
    </row>
    <row r="64" spans="2:12" x14ac:dyDescent="0.3">
      <c r="C64" s="89" t="s">
        <v>191</v>
      </c>
      <c r="D64" s="89"/>
      <c r="E64" s="90">
        <f>PV(0.09,10,0,PV(0.09,2,4000))</f>
        <v>2972.2703018668144</v>
      </c>
      <c r="J64" s="104"/>
      <c r="K64" s="89"/>
      <c r="L64" s="90"/>
    </row>
    <row r="65" spans="2:14" x14ac:dyDescent="0.3">
      <c r="C65" s="89" t="s">
        <v>91</v>
      </c>
      <c r="D65" s="89"/>
      <c r="E65" s="90">
        <f>SUM(E63:E64)</f>
        <v>10683.689802945197</v>
      </c>
      <c r="J65" s="104"/>
      <c r="K65" s="89"/>
      <c r="L65" s="90"/>
    </row>
    <row r="66" spans="2:14" x14ac:dyDescent="0.3">
      <c r="C66" s="89" t="s">
        <v>92</v>
      </c>
      <c r="D66" s="89"/>
      <c r="E66" s="90">
        <f>27500-E65</f>
        <v>16816.310197054801</v>
      </c>
      <c r="J66" s="89"/>
      <c r="K66" s="89"/>
      <c r="L66" s="90"/>
    </row>
    <row r="67" spans="2:14" x14ac:dyDescent="0.3">
      <c r="C67" s="89" t="s">
        <v>192</v>
      </c>
      <c r="D67" s="89"/>
      <c r="E67" s="90">
        <f>FV(0.09,6,0,-E66)</f>
        <v>28202.635695417255</v>
      </c>
      <c r="K67" s="89"/>
      <c r="L67" s="90"/>
    </row>
    <row r="68" spans="2:14" x14ac:dyDescent="0.3">
      <c r="C68" s="89" t="s">
        <v>93</v>
      </c>
      <c r="D68" s="89"/>
      <c r="E68" s="127">
        <f>PMT(0.09,4,-E67)</f>
        <v>8705.2698275470811</v>
      </c>
      <c r="H68" s="89"/>
      <c r="K68" s="89"/>
      <c r="L68" s="90"/>
    </row>
    <row r="69" spans="2:14" s="104" customFormat="1" x14ac:dyDescent="0.3">
      <c r="E69" s="91"/>
      <c r="L69" s="91"/>
    </row>
    <row r="70" spans="2:14" s="104" customFormat="1" x14ac:dyDescent="0.3">
      <c r="E70" s="91"/>
      <c r="L70" s="91"/>
    </row>
    <row r="71" spans="2:14" s="104" customFormat="1" x14ac:dyDescent="0.3">
      <c r="E71" s="91"/>
      <c r="L71" s="91"/>
    </row>
    <row r="72" spans="2:14" s="104" customFormat="1" x14ac:dyDescent="0.3">
      <c r="E72" s="91"/>
      <c r="L72" s="91"/>
    </row>
    <row r="73" spans="2:14" x14ac:dyDescent="0.3">
      <c r="F73" s="40"/>
      <c r="J73" s="91"/>
    </row>
    <row r="74" spans="2:14" x14ac:dyDescent="0.3">
      <c r="B74" s="54" t="s">
        <v>7</v>
      </c>
      <c r="C74" t="s">
        <v>20</v>
      </c>
    </row>
    <row r="75" spans="2:14" ht="16.2" x14ac:dyDescent="0.45">
      <c r="C75" t="s">
        <v>193</v>
      </c>
      <c r="I75" s="18" t="s">
        <v>3</v>
      </c>
      <c r="J75" s="18" t="s">
        <v>17</v>
      </c>
      <c r="K75" s="18" t="s">
        <v>18</v>
      </c>
      <c r="L75" s="18" t="s">
        <v>28</v>
      </c>
      <c r="M75" s="18" t="s">
        <v>19</v>
      </c>
      <c r="N75" s="18"/>
    </row>
    <row r="76" spans="2:14" x14ac:dyDescent="0.3">
      <c r="C76" t="s">
        <v>138</v>
      </c>
      <c r="I76" s="17">
        <v>1</v>
      </c>
      <c r="J76">
        <v>2500</v>
      </c>
      <c r="K76">
        <v>1800</v>
      </c>
      <c r="L76">
        <v>300</v>
      </c>
      <c r="M76">
        <v>125</v>
      </c>
    </row>
    <row r="77" spans="2:14" ht="15" thickBot="1" x14ac:dyDescent="0.35">
      <c r="I77" s="17">
        <v>2</v>
      </c>
      <c r="J77">
        <v>3000</v>
      </c>
      <c r="K77">
        <v>2200</v>
      </c>
      <c r="L77">
        <v>315</v>
      </c>
      <c r="M77">
        <v>150</v>
      </c>
    </row>
    <row r="78" spans="2:14" ht="15" thickBot="1" x14ac:dyDescent="0.35">
      <c r="C78" s="7" t="s">
        <v>21</v>
      </c>
      <c r="E78" s="19">
        <v>4</v>
      </c>
      <c r="I78" s="17">
        <v>3</v>
      </c>
      <c r="J78">
        <v>3250</v>
      </c>
      <c r="K78">
        <v>2400</v>
      </c>
      <c r="L78">
        <v>325</v>
      </c>
      <c r="M78">
        <v>162</v>
      </c>
    </row>
    <row r="79" spans="2:14" ht="15" thickBot="1" x14ac:dyDescent="0.35">
      <c r="C79" s="16"/>
      <c r="I79" s="17">
        <v>4</v>
      </c>
      <c r="J79">
        <v>4000</v>
      </c>
      <c r="K79">
        <v>3100</v>
      </c>
      <c r="L79">
        <v>400</v>
      </c>
      <c r="M79">
        <v>200</v>
      </c>
    </row>
    <row r="80" spans="2:14" ht="15" thickBot="1" x14ac:dyDescent="0.35">
      <c r="C80" s="7" t="s">
        <v>194</v>
      </c>
      <c r="E80" s="20">
        <f>VLOOKUP(E78,I76:M85,5)</f>
        <v>200</v>
      </c>
      <c r="I80" s="17">
        <v>5</v>
      </c>
      <c r="J80">
        <v>4500</v>
      </c>
      <c r="K80">
        <v>3300</v>
      </c>
      <c r="L80">
        <v>430</v>
      </c>
      <c r="M80">
        <v>225</v>
      </c>
    </row>
    <row r="81" spans="2:13" x14ac:dyDescent="0.3">
      <c r="I81" s="17">
        <v>6</v>
      </c>
      <c r="J81">
        <v>5200</v>
      </c>
      <c r="K81">
        <v>3900</v>
      </c>
      <c r="L81">
        <v>450</v>
      </c>
      <c r="M81">
        <v>260</v>
      </c>
    </row>
    <row r="82" spans="2:13" x14ac:dyDescent="0.3">
      <c r="I82" s="17">
        <v>7</v>
      </c>
      <c r="J82">
        <v>5900</v>
      </c>
      <c r="K82">
        <v>4400</v>
      </c>
      <c r="L82">
        <v>500</v>
      </c>
      <c r="M82">
        <v>295</v>
      </c>
    </row>
    <row r="83" spans="2:13" x14ac:dyDescent="0.3">
      <c r="I83" s="17">
        <v>8</v>
      </c>
      <c r="J83">
        <v>6500</v>
      </c>
      <c r="K83">
        <v>4800</v>
      </c>
      <c r="L83">
        <v>550</v>
      </c>
      <c r="M83">
        <v>325</v>
      </c>
    </row>
    <row r="84" spans="2:13" x14ac:dyDescent="0.3">
      <c r="I84" s="17">
        <v>9</v>
      </c>
      <c r="J84">
        <v>8000</v>
      </c>
      <c r="K84">
        <v>6000</v>
      </c>
      <c r="L84">
        <v>590</v>
      </c>
      <c r="M84">
        <v>400</v>
      </c>
    </row>
    <row r="85" spans="2:13" x14ac:dyDescent="0.3">
      <c r="I85" s="17">
        <v>10</v>
      </c>
      <c r="J85">
        <v>9250</v>
      </c>
      <c r="K85">
        <v>6900</v>
      </c>
      <c r="L85">
        <v>700</v>
      </c>
      <c r="M85">
        <v>475</v>
      </c>
    </row>
    <row r="87" spans="2:13" x14ac:dyDescent="0.3">
      <c r="B87" s="78" t="s">
        <v>105</v>
      </c>
      <c r="C87" t="s">
        <v>139</v>
      </c>
    </row>
    <row r="88" spans="2:13" s="104" customFormat="1" x14ac:dyDescent="0.3">
      <c r="B88" s="86"/>
      <c r="C88" s="104" t="s">
        <v>195</v>
      </c>
    </row>
    <row r="89" spans="2:13" s="104" customFormat="1" x14ac:dyDescent="0.3">
      <c r="B89" s="86"/>
      <c r="C89" s="104" t="s">
        <v>196</v>
      </c>
    </row>
    <row r="90" spans="2:13" s="104" customFormat="1" x14ac:dyDescent="0.3">
      <c r="B90" s="86"/>
      <c r="C90" s="104" t="s">
        <v>197</v>
      </c>
    </row>
    <row r="91" spans="2:13" s="104" customFormat="1" x14ac:dyDescent="0.3">
      <c r="B91" s="86"/>
      <c r="C91" s="104" t="s">
        <v>198</v>
      </c>
    </row>
    <row r="92" spans="2:13" s="104" customFormat="1" x14ac:dyDescent="0.3">
      <c r="B92" s="86"/>
      <c r="C92" s="104" t="s">
        <v>199</v>
      </c>
    </row>
    <row r="93" spans="2:13" s="104" customFormat="1" x14ac:dyDescent="0.3">
      <c r="B93" s="86"/>
      <c r="C93" t="s">
        <v>200</v>
      </c>
    </row>
    <row r="94" spans="2:13" x14ac:dyDescent="0.3">
      <c r="C94" t="s">
        <v>201</v>
      </c>
    </row>
    <row r="95" spans="2:13" s="104" customFormat="1" x14ac:dyDescent="0.3"/>
    <row r="96" spans="2:13" ht="15" thickBot="1" x14ac:dyDescent="0.35"/>
    <row r="97" spans="3:4" ht="15" thickBot="1" x14ac:dyDescent="0.35">
      <c r="C97" s="119" t="s">
        <v>3</v>
      </c>
      <c r="D97" s="120" t="s">
        <v>17</v>
      </c>
    </row>
    <row r="98" spans="3:4" x14ac:dyDescent="0.3">
      <c r="C98" s="113">
        <v>2005</v>
      </c>
      <c r="D98" s="114">
        <v>1345000</v>
      </c>
    </row>
    <row r="99" spans="3:4" x14ac:dyDescent="0.3">
      <c r="C99" s="79">
        <v>2006</v>
      </c>
      <c r="D99" s="82">
        <v>1472000</v>
      </c>
    </row>
    <row r="100" spans="3:4" x14ac:dyDescent="0.3">
      <c r="C100" s="79">
        <v>2007</v>
      </c>
      <c r="D100" s="82">
        <v>1725000</v>
      </c>
    </row>
    <row r="101" spans="3:4" x14ac:dyDescent="0.3">
      <c r="C101" s="79">
        <v>2008</v>
      </c>
      <c r="D101" s="82">
        <v>1815000</v>
      </c>
    </row>
    <row r="102" spans="3:4" x14ac:dyDescent="0.3">
      <c r="C102" s="79">
        <v>2009</v>
      </c>
      <c r="D102" s="82">
        <v>1485000</v>
      </c>
    </row>
    <row r="103" spans="3:4" x14ac:dyDescent="0.3">
      <c r="C103" s="79">
        <v>2010</v>
      </c>
      <c r="D103" s="82">
        <v>2105000</v>
      </c>
    </row>
    <row r="104" spans="3:4" s="100" customFormat="1" x14ac:dyDescent="0.3">
      <c r="C104" s="79">
        <v>2011</v>
      </c>
      <c r="D104" s="82">
        <v>2620000</v>
      </c>
    </row>
    <row r="105" spans="3:4" x14ac:dyDescent="0.3">
      <c r="C105" s="79">
        <v>2012</v>
      </c>
      <c r="D105" s="82">
        <v>2450000</v>
      </c>
    </row>
    <row r="106" spans="3:4" s="104" customFormat="1" x14ac:dyDescent="0.3">
      <c r="C106" s="128">
        <v>2013</v>
      </c>
      <c r="D106" s="129">
        <v>2745000</v>
      </c>
    </row>
    <row r="107" spans="3:4" ht="15" thickBot="1" x14ac:dyDescent="0.35">
      <c r="C107" s="80">
        <v>2014</v>
      </c>
      <c r="D107" s="115">
        <v>2250000</v>
      </c>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zoomScale="145" zoomScaleNormal="145" workbookViewId="0"/>
  </sheetViews>
  <sheetFormatPr defaultColWidth="8.6640625" defaultRowHeight="14.4" x14ac:dyDescent="0.3"/>
  <cols>
    <col min="1" max="1" width="6.33203125" style="22" customWidth="1"/>
    <col min="2" max="2" width="4" style="21" customWidth="1"/>
    <col min="3" max="3" width="30.6640625" style="21" customWidth="1"/>
    <col min="4" max="4" width="17" style="22" customWidth="1"/>
    <col min="5" max="6" width="14.5546875" style="22" customWidth="1"/>
    <col min="7" max="7" width="4.109375" style="22" customWidth="1"/>
    <col min="8" max="16384" width="8.6640625" style="22"/>
  </cols>
  <sheetData>
    <row r="24" spans="3:6" ht="15" thickBot="1" x14ac:dyDescent="0.35"/>
    <row r="25" spans="3:6" ht="15" thickBot="1" x14ac:dyDescent="0.35">
      <c r="C25" s="133" t="s">
        <v>57</v>
      </c>
      <c r="D25" s="134"/>
      <c r="E25" s="134"/>
      <c r="F25" s="134"/>
    </row>
    <row r="26" spans="3:6" x14ac:dyDescent="0.3">
      <c r="C26" s="35" t="s">
        <v>202</v>
      </c>
      <c r="F26" s="94">
        <v>-6.5000000000000002E-2</v>
      </c>
    </row>
    <row r="27" spans="3:6" x14ac:dyDescent="0.3">
      <c r="C27" s="35" t="s">
        <v>56</v>
      </c>
      <c r="F27" s="94">
        <v>4.4999999999999998E-2</v>
      </c>
    </row>
    <row r="28" spans="3:6" x14ac:dyDescent="0.3">
      <c r="C28" s="35" t="s">
        <v>55</v>
      </c>
      <c r="F28" s="94">
        <v>6.8000000000000005E-2</v>
      </c>
    </row>
    <row r="29" spans="3:6" x14ac:dyDescent="0.3">
      <c r="C29" s="35" t="s">
        <v>203</v>
      </c>
      <c r="F29" s="93">
        <v>0.34</v>
      </c>
    </row>
    <row r="30" spans="3:6" x14ac:dyDescent="0.3">
      <c r="C30" s="35" t="s">
        <v>204</v>
      </c>
      <c r="F30" s="92">
        <v>80000</v>
      </c>
    </row>
    <row r="31" spans="3:6" x14ac:dyDescent="0.3">
      <c r="C31" s="35" t="s">
        <v>205</v>
      </c>
      <c r="F31" s="92">
        <v>500000</v>
      </c>
    </row>
    <row r="32" spans="3:6" x14ac:dyDescent="0.3">
      <c r="C32" s="35" t="s">
        <v>206</v>
      </c>
      <c r="F32" s="92">
        <v>75000</v>
      </c>
    </row>
    <row r="33" spans="3:12" ht="7.5" customHeight="1" thickBot="1" x14ac:dyDescent="0.35">
      <c r="C33" s="36"/>
      <c r="D33" s="25"/>
      <c r="E33" s="25"/>
      <c r="F33" s="37"/>
    </row>
    <row r="34" spans="3:12" x14ac:dyDescent="0.3">
      <c r="C34" s="35"/>
      <c r="F34" s="92"/>
    </row>
    <row r="35" spans="3:12" ht="21.6" thickBot="1" x14ac:dyDescent="0.45">
      <c r="C35" s="135" t="s">
        <v>22</v>
      </c>
      <c r="D35" s="135"/>
      <c r="E35" s="135"/>
      <c r="F35" s="135"/>
    </row>
    <row r="36" spans="3:12" ht="19.5" customHeight="1" thickBot="1" x14ac:dyDescent="0.35">
      <c r="C36" s="117"/>
      <c r="D36" s="101">
        <v>2013</v>
      </c>
      <c r="E36" s="101">
        <v>2014</v>
      </c>
      <c r="F36" s="101">
        <v>2015</v>
      </c>
    </row>
    <row r="37" spans="3:12" ht="17.25" customHeight="1" x14ac:dyDescent="0.3">
      <c r="C37" s="31" t="s">
        <v>17</v>
      </c>
      <c r="D37" s="22">
        <v>3450000</v>
      </c>
      <c r="E37" s="22">
        <v>3780000</v>
      </c>
      <c r="F37" s="42">
        <f>E37*(1+F26)</f>
        <v>3534300</v>
      </c>
    </row>
    <row r="38" spans="3:12" ht="17.399999999999999" x14ac:dyDescent="0.55000000000000004">
      <c r="C38" s="34" t="s">
        <v>23</v>
      </c>
      <c r="D38" s="81">
        <v>2250000</v>
      </c>
      <c r="E38" s="81">
        <v>2435000</v>
      </c>
      <c r="F38" s="81">
        <f>$F$37*J38*1.05</f>
        <v>2405394.211956522</v>
      </c>
      <c r="H38" s="48">
        <f>D38/D$37</f>
        <v>0.65217391304347827</v>
      </c>
      <c r="I38" s="48">
        <f>E38/E$37</f>
        <v>0.64417989417989419</v>
      </c>
      <c r="J38" s="50">
        <f>AVERAGE(H38:I38)</f>
        <v>0.64817690361168623</v>
      </c>
      <c r="L38" s="104"/>
    </row>
    <row r="39" spans="3:12" x14ac:dyDescent="0.3">
      <c r="C39" s="32" t="s">
        <v>24</v>
      </c>
      <c r="D39" s="22">
        <f>D37-D38</f>
        <v>1200000</v>
      </c>
      <c r="E39" s="22">
        <f>E37-E38</f>
        <v>1345000</v>
      </c>
      <c r="F39" s="22">
        <f>F37-F38</f>
        <v>1128905.788043478</v>
      </c>
    </row>
    <row r="40" spans="3:12" x14ac:dyDescent="0.3">
      <c r="C40" s="31" t="s">
        <v>25</v>
      </c>
      <c r="D40" s="22">
        <v>500000</v>
      </c>
      <c r="E40" s="22">
        <v>485000</v>
      </c>
      <c r="F40" s="22">
        <f>$F$37*J40</f>
        <v>482846.19565217401</v>
      </c>
      <c r="G40" s="24"/>
      <c r="H40" s="48">
        <f>D40/D$37</f>
        <v>0.14492753623188406</v>
      </c>
      <c r="I40" s="48">
        <f>E40/E$37</f>
        <v>0.12830687830687831</v>
      </c>
      <c r="J40" s="50">
        <f>AVERAGE(H40:I40)</f>
        <v>0.1366172072693812</v>
      </c>
    </row>
    <row r="41" spans="3:12" x14ac:dyDescent="0.3">
      <c r="C41" s="31" t="s">
        <v>26</v>
      </c>
      <c r="D41" s="22">
        <v>240000</v>
      </c>
      <c r="E41" s="22">
        <v>240000</v>
      </c>
      <c r="F41" s="55">
        <v>240000</v>
      </c>
    </row>
    <row r="42" spans="3:12" ht="17.399999999999999" x14ac:dyDescent="0.55000000000000004">
      <c r="C42" s="34" t="s">
        <v>27</v>
      </c>
      <c r="D42" s="81">
        <v>105000</v>
      </c>
      <c r="E42" s="81">
        <v>95000</v>
      </c>
      <c r="F42" s="81">
        <f>E42+F32</f>
        <v>170000</v>
      </c>
    </row>
    <row r="43" spans="3:12" x14ac:dyDescent="0.3">
      <c r="C43" s="32" t="s">
        <v>28</v>
      </c>
      <c r="D43" s="22">
        <f>D39-D40-D41-D42</f>
        <v>355000</v>
      </c>
      <c r="E43" s="22">
        <f>E39-E40-E41-E42</f>
        <v>525000</v>
      </c>
      <c r="F43" s="22">
        <f>F39-F40-F41-F42</f>
        <v>236059.59239130397</v>
      </c>
    </row>
    <row r="44" spans="3:12" ht="17.399999999999999" x14ac:dyDescent="0.55000000000000004">
      <c r="C44" s="34" t="s">
        <v>29</v>
      </c>
      <c r="D44" s="81">
        <v>31800</v>
      </c>
      <c r="E44" s="81">
        <v>34500</v>
      </c>
      <c r="F44" s="81">
        <f>F27*E61+F28*E64</f>
        <v>38350</v>
      </c>
    </row>
    <row r="45" spans="3:12" x14ac:dyDescent="0.3">
      <c r="C45" s="32" t="s">
        <v>30</v>
      </c>
      <c r="D45" s="22">
        <f>D43-D44</f>
        <v>323200</v>
      </c>
      <c r="E45" s="22">
        <f>E43-E44</f>
        <v>490500</v>
      </c>
      <c r="F45" s="22">
        <f>F43-F44</f>
        <v>197709.59239130397</v>
      </c>
    </row>
    <row r="46" spans="3:12" ht="17.399999999999999" x14ac:dyDescent="0.55000000000000004">
      <c r="C46" s="34" t="s">
        <v>31</v>
      </c>
      <c r="D46" s="81">
        <v>235800</v>
      </c>
      <c r="E46" s="81">
        <v>207600</v>
      </c>
      <c r="F46" s="81">
        <f>F45*F29</f>
        <v>67221.26141304335</v>
      </c>
    </row>
    <row r="47" spans="3:12" ht="15" thickBot="1" x14ac:dyDescent="0.35">
      <c r="C47" s="33" t="s">
        <v>19</v>
      </c>
      <c r="D47" s="25">
        <f>D45-D46</f>
        <v>87400</v>
      </c>
      <c r="E47" s="25">
        <f>E45-E46</f>
        <v>282900</v>
      </c>
      <c r="F47" s="25">
        <f>F45-F46</f>
        <v>130488.33097826062</v>
      </c>
    </row>
    <row r="48" spans="3:12" ht="7.5" customHeight="1" x14ac:dyDescent="0.3">
      <c r="C48" s="96"/>
      <c r="D48" s="104"/>
      <c r="E48" s="104"/>
      <c r="F48" s="104"/>
    </row>
    <row r="49" spans="2:10" ht="21.6" thickBot="1" x14ac:dyDescent="0.45">
      <c r="B49" s="135" t="s">
        <v>32</v>
      </c>
      <c r="C49" s="135"/>
      <c r="D49" s="135"/>
      <c r="E49" s="135"/>
      <c r="F49" s="135"/>
    </row>
    <row r="50" spans="2:10" ht="15" thickBot="1" x14ac:dyDescent="0.35">
      <c r="B50" s="26" t="s">
        <v>33</v>
      </c>
      <c r="C50" s="26"/>
      <c r="D50" s="101">
        <v>2013</v>
      </c>
      <c r="E50" s="101">
        <v>2014</v>
      </c>
      <c r="F50" s="101">
        <v>2015</v>
      </c>
    </row>
    <row r="51" spans="2:10" x14ac:dyDescent="0.3">
      <c r="B51" s="27" t="s">
        <v>34</v>
      </c>
      <c r="D51" s="22">
        <f>D69-D57-D53-D52</f>
        <v>57500</v>
      </c>
      <c r="E51" s="22">
        <f>E69-E57-E53-E52</f>
        <v>291400</v>
      </c>
      <c r="F51" s="55">
        <v>250000</v>
      </c>
    </row>
    <row r="52" spans="2:10" x14ac:dyDescent="0.3">
      <c r="B52" s="27" t="s">
        <v>35</v>
      </c>
      <c r="D52" s="22">
        <v>450000</v>
      </c>
      <c r="E52" s="22">
        <v>390000</v>
      </c>
      <c r="F52" s="22">
        <f>$F$37*J52</f>
        <v>412822.82608695648</v>
      </c>
      <c r="H52" s="48">
        <f>D52/D$37</f>
        <v>0.13043478260869565</v>
      </c>
      <c r="I52" s="48">
        <f>E52/E$37</f>
        <v>0.10317460317460317</v>
      </c>
      <c r="J52" s="50">
        <f>AVERAGE(H52:I52)</f>
        <v>0.11680469289164941</v>
      </c>
    </row>
    <row r="53" spans="2:10" ht="16.2" x14ac:dyDescent="0.45">
      <c r="B53" s="27" t="s">
        <v>36</v>
      </c>
      <c r="D53" s="81">
        <v>785000</v>
      </c>
      <c r="E53" s="81">
        <v>742000</v>
      </c>
      <c r="F53" s="81">
        <f>$F$37*J53</f>
        <v>748975.65217391308</v>
      </c>
      <c r="H53" s="48">
        <f>D53/D$37</f>
        <v>0.22753623188405797</v>
      </c>
      <c r="I53" s="48">
        <f>E53/E$37</f>
        <v>0.1962962962962963</v>
      </c>
      <c r="J53" s="50">
        <f>AVERAGE(H53:I53)</f>
        <v>0.21191626409017714</v>
      </c>
    </row>
    <row r="54" spans="2:10" x14ac:dyDescent="0.3">
      <c r="B54" s="28" t="s">
        <v>37</v>
      </c>
      <c r="D54" s="22">
        <f>D51+D52+D53</f>
        <v>1292500</v>
      </c>
      <c r="E54" s="22">
        <f>E51+E52+E53</f>
        <v>1423400</v>
      </c>
      <c r="F54" s="22">
        <f>SUM(F51:F53)</f>
        <v>1411798.4782608696</v>
      </c>
    </row>
    <row r="55" spans="2:10" x14ac:dyDescent="0.3">
      <c r="B55" s="27" t="s">
        <v>38</v>
      </c>
      <c r="D55" s="22">
        <v>3425000</v>
      </c>
      <c r="E55" s="22">
        <v>3560000</v>
      </c>
      <c r="F55" s="22">
        <f>E55+F31</f>
        <v>4060000</v>
      </c>
    </row>
    <row r="56" spans="2:10" ht="16.2" x14ac:dyDescent="0.45">
      <c r="B56" s="27" t="s">
        <v>39</v>
      </c>
      <c r="D56" s="81">
        <v>1045000</v>
      </c>
      <c r="E56" s="81">
        <f>D56+E44</f>
        <v>1079500</v>
      </c>
      <c r="F56" s="81">
        <f>E56+F42</f>
        <v>1249500</v>
      </c>
    </row>
    <row r="57" spans="2:10" ht="16.2" x14ac:dyDescent="0.45">
      <c r="B57" s="28" t="s">
        <v>40</v>
      </c>
      <c r="D57" s="81">
        <f>D55-D56</f>
        <v>2380000</v>
      </c>
      <c r="E57" s="81">
        <f>E55-E56</f>
        <v>2480500</v>
      </c>
      <c r="F57" s="81">
        <f>F55-F56</f>
        <v>2810500</v>
      </c>
    </row>
    <row r="58" spans="2:10" ht="15" thickBot="1" x14ac:dyDescent="0.35">
      <c r="B58" s="28" t="s">
        <v>41</v>
      </c>
      <c r="D58" s="22">
        <f>D54+D57</f>
        <v>3672500</v>
      </c>
      <c r="E58" s="22">
        <f>E54+E57</f>
        <v>3903900</v>
      </c>
      <c r="F58" s="22">
        <f>F54+F57</f>
        <v>4222298.4782608692</v>
      </c>
    </row>
    <row r="59" spans="2:10" x14ac:dyDescent="0.3">
      <c r="B59" s="26" t="s">
        <v>42</v>
      </c>
      <c r="C59" s="26"/>
      <c r="D59" s="23"/>
      <c r="E59" s="23"/>
      <c r="F59" s="23"/>
    </row>
    <row r="60" spans="2:10" x14ac:dyDescent="0.3">
      <c r="B60" s="27" t="s">
        <v>43</v>
      </c>
      <c r="D60" s="22">
        <v>300500</v>
      </c>
      <c r="E60" s="22">
        <v>326000</v>
      </c>
      <c r="F60" s="22">
        <f>$F$37*J60</f>
        <v>306326.32608695654</v>
      </c>
      <c r="H60" s="48">
        <f>D60/D$37</f>
        <v>8.7101449275362314E-2</v>
      </c>
      <c r="I60" s="48">
        <f>E60/E$37</f>
        <v>8.6243386243386247E-2</v>
      </c>
      <c r="J60" s="50">
        <f>AVERAGE(H60:I60)</f>
        <v>8.6672417759374287E-2</v>
      </c>
    </row>
    <row r="61" spans="2:10" x14ac:dyDescent="0.3">
      <c r="B61" s="27" t="s">
        <v>44</v>
      </c>
      <c r="D61" s="22">
        <v>179000</v>
      </c>
      <c r="E61" s="22">
        <v>210000</v>
      </c>
      <c r="F61" s="55">
        <v>245000</v>
      </c>
    </row>
    <row r="62" spans="2:10" ht="16.2" x14ac:dyDescent="0.45">
      <c r="B62" s="27" t="s">
        <v>45</v>
      </c>
      <c r="D62" s="81">
        <v>118000</v>
      </c>
      <c r="E62" s="81">
        <v>85000</v>
      </c>
      <c r="F62" s="53">
        <v>100000</v>
      </c>
    </row>
    <row r="63" spans="2:10" x14ac:dyDescent="0.3">
      <c r="B63" s="28" t="s">
        <v>46</v>
      </c>
      <c r="D63" s="22">
        <f>D60+D61+D62</f>
        <v>597500</v>
      </c>
      <c r="E63" s="22">
        <f>E60+E61+E62</f>
        <v>621000</v>
      </c>
      <c r="F63" s="22">
        <f>SUM(F60:F62)</f>
        <v>651326.32608695654</v>
      </c>
    </row>
    <row r="64" spans="2:10" ht="16.2" x14ac:dyDescent="0.45">
      <c r="B64" s="27" t="s">
        <v>47</v>
      </c>
      <c r="D64" s="81">
        <v>425000</v>
      </c>
      <c r="E64" s="81">
        <v>425000</v>
      </c>
      <c r="F64" s="53">
        <v>450000</v>
      </c>
    </row>
    <row r="65" spans="2:6" x14ac:dyDescent="0.3">
      <c r="B65" s="28" t="s">
        <v>48</v>
      </c>
      <c r="D65" s="22">
        <f>D63+D64</f>
        <v>1022500</v>
      </c>
      <c r="E65" s="22">
        <f>E63+E64</f>
        <v>1046000</v>
      </c>
      <c r="F65" s="22">
        <f>F63+F64</f>
        <v>1101326.3260869565</v>
      </c>
    </row>
    <row r="66" spans="2:6" x14ac:dyDescent="0.3">
      <c r="B66" s="27" t="s">
        <v>49</v>
      </c>
      <c r="D66" s="22">
        <v>500000</v>
      </c>
      <c r="E66" s="22">
        <v>500000</v>
      </c>
      <c r="F66" s="55">
        <v>500000</v>
      </c>
    </row>
    <row r="67" spans="2:6" ht="16.2" x14ac:dyDescent="0.45">
      <c r="B67" s="27" t="s">
        <v>50</v>
      </c>
      <c r="D67" s="81">
        <v>2150000</v>
      </c>
      <c r="E67" s="81">
        <f>D67+E47-75000</f>
        <v>2357900</v>
      </c>
      <c r="F67" s="81">
        <f>E67+F47-F30</f>
        <v>2408388.3309782608</v>
      </c>
    </row>
    <row r="68" spans="2:6" ht="16.2" x14ac:dyDescent="0.45">
      <c r="B68" s="28" t="s">
        <v>51</v>
      </c>
      <c r="D68" s="81">
        <f>D66+D67</f>
        <v>2650000</v>
      </c>
      <c r="E68" s="81">
        <f>E66+E67</f>
        <v>2857900</v>
      </c>
      <c r="F68" s="81">
        <f>F66+F67</f>
        <v>2908388.3309782608</v>
      </c>
    </row>
    <row r="69" spans="2:6" ht="15" thickBot="1" x14ac:dyDescent="0.35">
      <c r="B69" s="29" t="s">
        <v>52</v>
      </c>
      <c r="C69" s="30"/>
      <c r="D69" s="25">
        <f>D65+D68</f>
        <v>3672500</v>
      </c>
      <c r="E69" s="25">
        <f>E65+E68</f>
        <v>3903900</v>
      </c>
      <c r="F69" s="25">
        <f>F65+F68</f>
        <v>4009714.6570652174</v>
      </c>
    </row>
    <row r="70" spans="2:6" ht="3.75" customHeight="1" x14ac:dyDescent="0.3"/>
    <row r="71" spans="2:6" ht="3.75" customHeight="1" thickBot="1" x14ac:dyDescent="0.35"/>
    <row r="72" spans="2:6" ht="15" thickBot="1" x14ac:dyDescent="0.35">
      <c r="C72" s="21" t="s">
        <v>207</v>
      </c>
      <c r="F72" s="20">
        <f>F69-F58</f>
        <v>-212583.82119565178</v>
      </c>
    </row>
    <row r="73" spans="2:6" ht="9.75" customHeight="1" thickBot="1" x14ac:dyDescent="0.35">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5"/>
  <sheetViews>
    <sheetView zoomScale="160" zoomScaleNormal="160" workbookViewId="0"/>
  </sheetViews>
  <sheetFormatPr defaultRowHeight="14.4" x14ac:dyDescent="0.3"/>
  <cols>
    <col min="1" max="1" width="3" customWidth="1"/>
    <col min="3" max="3" width="4" customWidth="1"/>
    <col min="4" max="4" width="3.33203125" customWidth="1"/>
    <col min="5" max="5" width="74.88671875" customWidth="1"/>
    <col min="6" max="6" width="11.44140625" bestFit="1" customWidth="1"/>
    <col min="7" max="7" width="12.109375" bestFit="1" customWidth="1"/>
    <col min="12" max="12" width="9.44140625" bestFit="1" customWidth="1"/>
    <col min="13" max="13" width="11.6640625" customWidth="1"/>
    <col min="14" max="14" width="10.6640625" customWidth="1"/>
  </cols>
  <sheetData>
    <row r="2" spans="2:13" ht="18" x14ac:dyDescent="0.3">
      <c r="B2" s="97"/>
      <c r="C2" s="95"/>
      <c r="D2" s="95"/>
      <c r="E2" s="98" t="s">
        <v>150</v>
      </c>
      <c r="F2" s="95"/>
      <c r="G2" s="95"/>
    </row>
    <row r="3" spans="2:13" x14ac:dyDescent="0.3">
      <c r="B3" s="97"/>
      <c r="C3" s="95"/>
      <c r="D3" s="95"/>
      <c r="E3" s="99" t="s">
        <v>151</v>
      </c>
      <c r="F3" s="95"/>
      <c r="G3" s="95"/>
    </row>
    <row r="4" spans="2:13" x14ac:dyDescent="0.3">
      <c r="B4" s="97"/>
      <c r="C4" s="95"/>
      <c r="D4" s="95"/>
      <c r="E4" s="95"/>
      <c r="F4" s="95"/>
      <c r="G4" s="95"/>
    </row>
    <row r="5" spans="2:13" x14ac:dyDescent="0.3">
      <c r="B5" s="97"/>
      <c r="C5" s="95"/>
      <c r="D5" s="95"/>
      <c r="E5" s="96" t="s">
        <v>153</v>
      </c>
      <c r="F5" s="95"/>
      <c r="G5" s="95"/>
    </row>
    <row r="6" spans="2:13" x14ac:dyDescent="0.3">
      <c r="B6" s="95"/>
      <c r="C6" s="95"/>
      <c r="D6" s="95"/>
      <c r="E6" s="96" t="s">
        <v>104</v>
      </c>
      <c r="F6" s="95"/>
      <c r="G6" s="95"/>
    </row>
    <row r="7" spans="2:13" s="104" customFormat="1" ht="15" thickBot="1" x14ac:dyDescent="0.35">
      <c r="B7" s="97" t="s">
        <v>152</v>
      </c>
    </row>
    <row r="8" spans="2:13" s="104" customFormat="1" ht="15" thickBot="1" x14ac:dyDescent="0.35">
      <c r="B8" s="102" t="s">
        <v>156</v>
      </c>
      <c r="C8" s="103" t="s">
        <v>0</v>
      </c>
      <c r="D8" s="103"/>
      <c r="E8" s="136" t="s">
        <v>208</v>
      </c>
    </row>
    <row r="9" spans="2:13" s="104" customFormat="1" ht="33" customHeight="1" x14ac:dyDescent="0.3">
      <c r="E9" s="136"/>
    </row>
    <row r="10" spans="2:13" s="104" customFormat="1" ht="15" thickBot="1" x14ac:dyDescent="0.35">
      <c r="B10" s="97" t="s">
        <v>152</v>
      </c>
    </row>
    <row r="11" spans="2:13" s="104" customFormat="1" ht="15" thickBot="1" x14ac:dyDescent="0.35">
      <c r="B11" s="102" t="s">
        <v>155</v>
      </c>
      <c r="C11" s="103" t="s">
        <v>1</v>
      </c>
      <c r="D11" s="103"/>
      <c r="E11" s="136" t="s">
        <v>148</v>
      </c>
      <c r="L11" s="91"/>
      <c r="M11" s="91"/>
    </row>
    <row r="12" spans="2:13" s="104" customFormat="1" ht="30.6" customHeight="1" x14ac:dyDescent="0.3">
      <c r="E12" s="136"/>
      <c r="L12" s="91"/>
      <c r="M12" s="91"/>
    </row>
    <row r="13" spans="2:13" s="104" customFormat="1" ht="15" thickBot="1" x14ac:dyDescent="0.35">
      <c r="B13" s="97" t="s">
        <v>152</v>
      </c>
      <c r="L13" s="91"/>
      <c r="M13" s="91"/>
    </row>
    <row r="14" spans="2:13" s="104" customFormat="1" ht="15" thickBot="1" x14ac:dyDescent="0.35">
      <c r="B14" s="102" t="s">
        <v>155</v>
      </c>
      <c r="C14" s="103" t="s">
        <v>6</v>
      </c>
      <c r="D14" s="103"/>
      <c r="E14" s="136" t="s">
        <v>209</v>
      </c>
      <c r="L14" s="91"/>
      <c r="M14" s="91"/>
    </row>
    <row r="15" spans="2:13" s="104" customFormat="1" x14ac:dyDescent="0.3">
      <c r="E15" s="136"/>
      <c r="L15" s="91"/>
      <c r="M15" s="91"/>
    </row>
    <row r="16" spans="2:13" s="104" customFormat="1" ht="15" thickBot="1" x14ac:dyDescent="0.35">
      <c r="B16" s="97" t="s">
        <v>152</v>
      </c>
      <c r="L16" s="91"/>
      <c r="M16" s="91"/>
    </row>
    <row r="17" spans="2:5" s="104" customFormat="1" ht="15" customHeight="1" thickBot="1" x14ac:dyDescent="0.35">
      <c r="B17" s="102" t="s">
        <v>155</v>
      </c>
      <c r="C17" s="103" t="s">
        <v>7</v>
      </c>
      <c r="D17" s="103"/>
      <c r="E17" s="136" t="s">
        <v>157</v>
      </c>
    </row>
    <row r="18" spans="2:5" s="104" customFormat="1" x14ac:dyDescent="0.3">
      <c r="E18" s="136"/>
    </row>
    <row r="19" spans="2:5" s="104" customFormat="1" ht="15" thickBot="1" x14ac:dyDescent="0.35">
      <c r="B19" s="97" t="s">
        <v>152</v>
      </c>
    </row>
    <row r="20" spans="2:5" s="104" customFormat="1" ht="15" customHeight="1" thickBot="1" x14ac:dyDescent="0.35">
      <c r="B20" s="102" t="s">
        <v>155</v>
      </c>
      <c r="C20" s="103" t="s">
        <v>105</v>
      </c>
      <c r="D20" s="103"/>
      <c r="E20" s="136" t="s">
        <v>210</v>
      </c>
    </row>
    <row r="21" spans="2:5" s="104" customFormat="1" x14ac:dyDescent="0.3">
      <c r="E21" s="136"/>
    </row>
    <row r="22" spans="2:5" s="104" customFormat="1" ht="15" customHeight="1" thickBot="1" x14ac:dyDescent="0.35">
      <c r="B22" s="97" t="s">
        <v>154</v>
      </c>
    </row>
    <row r="23" spans="2:5" s="104" customFormat="1" ht="15" thickBot="1" x14ac:dyDescent="0.35">
      <c r="B23" s="102" t="s">
        <v>211</v>
      </c>
      <c r="C23" s="103" t="s">
        <v>106</v>
      </c>
      <c r="E23" s="105" t="s">
        <v>158</v>
      </c>
    </row>
    <row r="24" spans="2:5" s="104" customFormat="1" ht="9" customHeight="1" x14ac:dyDescent="0.3"/>
    <row r="25" spans="2:5" s="104" customFormat="1" x14ac:dyDescent="0.3">
      <c r="D25" s="104" t="s">
        <v>107</v>
      </c>
      <c r="E25" s="105" t="s">
        <v>142</v>
      </c>
    </row>
    <row r="26" spans="2:5" s="104" customFormat="1" x14ac:dyDescent="0.3">
      <c r="D26" s="104" t="s">
        <v>108</v>
      </c>
      <c r="E26" s="105" t="s">
        <v>141</v>
      </c>
    </row>
    <row r="27" spans="2:5" s="104" customFormat="1" x14ac:dyDescent="0.3">
      <c r="D27" s="104" t="s">
        <v>109</v>
      </c>
      <c r="E27" s="105" t="s">
        <v>143</v>
      </c>
    </row>
    <row r="28" spans="2:5" s="104" customFormat="1" x14ac:dyDescent="0.3">
      <c r="D28" s="104" t="s">
        <v>110</v>
      </c>
      <c r="E28" s="105" t="s">
        <v>144</v>
      </c>
    </row>
    <row r="29" spans="2:5" s="104" customFormat="1" x14ac:dyDescent="0.3">
      <c r="D29" s="104" t="s">
        <v>111</v>
      </c>
      <c r="E29" s="105" t="s">
        <v>140</v>
      </c>
    </row>
    <row r="30" spans="2:5" s="104" customFormat="1" ht="13.5" customHeight="1" thickBot="1" x14ac:dyDescent="0.35">
      <c r="B30" s="97" t="s">
        <v>154</v>
      </c>
      <c r="E30" s="105"/>
    </row>
    <row r="31" spans="2:5" s="104" customFormat="1" ht="15.75" customHeight="1" thickBot="1" x14ac:dyDescent="0.35">
      <c r="B31" s="102" t="s">
        <v>213</v>
      </c>
      <c r="C31" s="103" t="s">
        <v>112</v>
      </c>
      <c r="E31" s="105" t="s">
        <v>159</v>
      </c>
    </row>
    <row r="32" spans="2:5" s="104" customFormat="1" ht="6" customHeight="1" x14ac:dyDescent="0.3">
      <c r="E32" s="105"/>
    </row>
    <row r="33" spans="2:5" s="104" customFormat="1" x14ac:dyDescent="0.3">
      <c r="D33" s="104" t="s">
        <v>107</v>
      </c>
      <c r="E33" s="105" t="s">
        <v>141</v>
      </c>
    </row>
    <row r="34" spans="2:5" s="104" customFormat="1" x14ac:dyDescent="0.3">
      <c r="D34" s="104" t="s">
        <v>108</v>
      </c>
      <c r="E34" s="105" t="s">
        <v>142</v>
      </c>
    </row>
    <row r="35" spans="2:5" s="104" customFormat="1" x14ac:dyDescent="0.3">
      <c r="D35" s="104" t="s">
        <v>109</v>
      </c>
      <c r="E35" s="105" t="s">
        <v>143</v>
      </c>
    </row>
    <row r="36" spans="2:5" s="104" customFormat="1" x14ac:dyDescent="0.3">
      <c r="D36" s="104" t="s">
        <v>110</v>
      </c>
      <c r="E36" s="105" t="s">
        <v>145</v>
      </c>
    </row>
    <row r="37" spans="2:5" s="104" customFormat="1" x14ac:dyDescent="0.3">
      <c r="D37" s="104" t="s">
        <v>111</v>
      </c>
      <c r="E37" s="105" t="s">
        <v>212</v>
      </c>
    </row>
    <row r="38" spans="2:5" s="104" customFormat="1" ht="15" customHeight="1" thickBot="1" x14ac:dyDescent="0.35">
      <c r="B38" s="97" t="s">
        <v>152</v>
      </c>
      <c r="E38" s="105"/>
    </row>
    <row r="39" spans="2:5" s="104" customFormat="1" ht="15" customHeight="1" thickBot="1" x14ac:dyDescent="0.35">
      <c r="B39" s="102" t="s">
        <v>155</v>
      </c>
      <c r="C39" s="103" t="s">
        <v>113</v>
      </c>
      <c r="D39" s="103"/>
      <c r="E39" s="136" t="s">
        <v>214</v>
      </c>
    </row>
    <row r="40" spans="2:5" s="104" customFormat="1" ht="17.399999999999999" customHeight="1" x14ac:dyDescent="0.3">
      <c r="E40" s="136"/>
    </row>
    <row r="41" spans="2:5" s="104" customFormat="1" ht="15" customHeight="1" thickBot="1" x14ac:dyDescent="0.35">
      <c r="B41" s="97" t="s">
        <v>152</v>
      </c>
      <c r="E41" s="105"/>
    </row>
    <row r="42" spans="2:5" s="104" customFormat="1" ht="15" customHeight="1" thickBot="1" x14ac:dyDescent="0.35">
      <c r="B42" s="102" t="s">
        <v>156</v>
      </c>
      <c r="C42" s="103" t="s">
        <v>114</v>
      </c>
      <c r="D42" s="103"/>
      <c r="E42" s="136" t="s">
        <v>215</v>
      </c>
    </row>
    <row r="43" spans="2:5" s="104" customFormat="1" x14ac:dyDescent="0.3">
      <c r="E43" s="136"/>
    </row>
    <row r="44" spans="2:5" s="104" customFormat="1" ht="15.75" customHeight="1" thickBot="1" x14ac:dyDescent="0.35">
      <c r="B44" s="97" t="s">
        <v>152</v>
      </c>
      <c r="E44" s="105"/>
    </row>
    <row r="45" spans="2:5" s="104" customFormat="1" ht="15" customHeight="1" thickBot="1" x14ac:dyDescent="0.35">
      <c r="B45" s="102" t="s">
        <v>156</v>
      </c>
      <c r="C45" s="103" t="s">
        <v>115</v>
      </c>
      <c r="D45" s="103"/>
      <c r="E45" s="136" t="s">
        <v>216</v>
      </c>
    </row>
    <row r="46" spans="2:5" s="104" customFormat="1" x14ac:dyDescent="0.3">
      <c r="E46" s="136"/>
    </row>
    <row r="47" spans="2:5" s="104" customFormat="1" ht="15.75" customHeight="1" thickBot="1" x14ac:dyDescent="0.35">
      <c r="B47" s="97" t="s">
        <v>152</v>
      </c>
      <c r="E47" s="105"/>
    </row>
    <row r="48" spans="2:5" s="104" customFormat="1" ht="15" customHeight="1" thickBot="1" x14ac:dyDescent="0.35">
      <c r="B48" s="102" t="s">
        <v>156</v>
      </c>
      <c r="C48" s="103" t="s">
        <v>146</v>
      </c>
      <c r="D48" s="103"/>
      <c r="E48" s="136" t="s">
        <v>217</v>
      </c>
    </row>
    <row r="49" spans="2:8" s="104" customFormat="1" x14ac:dyDescent="0.3">
      <c r="E49" s="136"/>
    </row>
    <row r="50" spans="2:8" s="104" customFormat="1" ht="14.25" customHeight="1" thickBot="1" x14ac:dyDescent="0.35">
      <c r="B50" s="97" t="s">
        <v>152</v>
      </c>
      <c r="E50" s="105"/>
    </row>
    <row r="51" spans="2:8" s="104" customFormat="1" ht="15" customHeight="1" thickBot="1" x14ac:dyDescent="0.35">
      <c r="B51" s="102" t="s">
        <v>155</v>
      </c>
      <c r="C51" s="103" t="s">
        <v>147</v>
      </c>
      <c r="D51" s="103"/>
      <c r="E51" s="136" t="s">
        <v>218</v>
      </c>
    </row>
    <row r="52" spans="2:8" s="104" customFormat="1" x14ac:dyDescent="0.3">
      <c r="E52" s="136"/>
    </row>
    <row r="53" spans="2:8" s="104" customFormat="1" ht="15" thickBot="1" x14ac:dyDescent="0.35">
      <c r="B53" s="97" t="s">
        <v>154</v>
      </c>
      <c r="E53" s="118"/>
    </row>
    <row r="54" spans="2:8" s="104" customFormat="1" ht="15" thickBot="1" x14ac:dyDescent="0.35">
      <c r="B54" s="102" t="s">
        <v>213</v>
      </c>
      <c r="C54" s="103" t="s">
        <v>149</v>
      </c>
      <c r="D54" s="103"/>
      <c r="E54" s="136" t="s">
        <v>116</v>
      </c>
    </row>
    <row r="55" spans="2:8" s="104" customFormat="1" ht="36.75" customHeight="1" x14ac:dyDescent="0.3">
      <c r="E55" s="136"/>
    </row>
    <row r="56" spans="2:8" s="104" customFormat="1" x14ac:dyDescent="0.3">
      <c r="D56" s="104" t="s">
        <v>107</v>
      </c>
      <c r="E56" s="104" t="s">
        <v>117</v>
      </c>
    </row>
    <row r="57" spans="2:8" s="104" customFormat="1" x14ac:dyDescent="0.3">
      <c r="D57" s="104" t="s">
        <v>108</v>
      </c>
      <c r="E57" s="104" t="s">
        <v>222</v>
      </c>
    </row>
    <row r="58" spans="2:8" s="104" customFormat="1" x14ac:dyDescent="0.3">
      <c r="D58" s="104" t="s">
        <v>109</v>
      </c>
      <c r="E58" s="104" t="s">
        <v>219</v>
      </c>
    </row>
    <row r="59" spans="2:8" s="104" customFormat="1" x14ac:dyDescent="0.3">
      <c r="D59" s="104" t="s">
        <v>110</v>
      </c>
      <c r="E59" s="104" t="s">
        <v>23</v>
      </c>
    </row>
    <row r="60" spans="2:8" s="104" customFormat="1" x14ac:dyDescent="0.3">
      <c r="D60" s="104" t="s">
        <v>111</v>
      </c>
      <c r="E60" s="104" t="s">
        <v>118</v>
      </c>
    </row>
    <row r="61" spans="2:8" ht="15" thickBot="1" x14ac:dyDescent="0.35">
      <c r="B61" s="97" t="s">
        <v>152</v>
      </c>
    </row>
    <row r="62" spans="2:8" ht="15" thickBot="1" x14ac:dyDescent="0.35">
      <c r="B62" s="102" t="s">
        <v>156</v>
      </c>
      <c r="C62" s="103" t="s">
        <v>220</v>
      </c>
      <c r="D62" s="103"/>
      <c r="E62" s="136" t="s">
        <v>221</v>
      </c>
      <c r="F62" s="95"/>
      <c r="G62" s="95"/>
      <c r="H62" s="95"/>
    </row>
    <row r="63" spans="2:8" ht="28.8" customHeight="1" x14ac:dyDescent="0.3">
      <c r="B63" s="104"/>
      <c r="C63" s="104"/>
      <c r="D63" s="104"/>
      <c r="E63" s="136"/>
      <c r="F63" s="95"/>
      <c r="G63" s="95"/>
      <c r="H63" s="95"/>
    </row>
    <row r="64" spans="2:8" ht="15" thickBot="1" x14ac:dyDescent="0.35">
      <c r="C64" s="95"/>
      <c r="D64" s="95"/>
      <c r="E64" s="95"/>
      <c r="F64" s="95"/>
      <c r="G64" s="95"/>
      <c r="H64" s="95"/>
    </row>
    <row r="65" spans="1:8" ht="15" thickBot="1" x14ac:dyDescent="0.35">
      <c r="A65" s="137"/>
      <c r="B65" s="138"/>
      <c r="C65" s="138"/>
      <c r="D65" s="138"/>
      <c r="E65" s="138"/>
      <c r="F65" s="138"/>
      <c r="G65" s="138"/>
      <c r="H65" s="139"/>
    </row>
    <row r="66" spans="1:8" x14ac:dyDescent="0.3">
      <c r="C66" s="95"/>
      <c r="D66" s="95"/>
      <c r="E66" s="95"/>
      <c r="F66" s="95"/>
      <c r="G66" s="95"/>
      <c r="H66" s="95"/>
    </row>
    <row r="67" spans="1:8" x14ac:dyDescent="0.3">
      <c r="C67" s="95"/>
      <c r="D67" s="95"/>
      <c r="E67" s="95"/>
      <c r="F67" s="95"/>
      <c r="G67" s="95"/>
      <c r="H67" s="95"/>
    </row>
    <row r="68" spans="1:8" x14ac:dyDescent="0.3">
      <c r="C68" s="95"/>
      <c r="D68" s="95"/>
      <c r="E68" s="95"/>
      <c r="F68" s="95"/>
      <c r="G68" s="95"/>
      <c r="H68" s="95"/>
    </row>
    <row r="69" spans="1:8" x14ac:dyDescent="0.3">
      <c r="C69" s="95"/>
      <c r="D69" s="95"/>
      <c r="E69" s="95"/>
      <c r="F69" s="95"/>
      <c r="G69" s="95"/>
      <c r="H69" s="95"/>
    </row>
    <row r="70" spans="1:8" x14ac:dyDescent="0.3">
      <c r="C70" s="95"/>
      <c r="D70" s="95"/>
      <c r="E70" s="95"/>
      <c r="F70" s="95"/>
      <c r="G70" s="95"/>
      <c r="H70" s="95"/>
    </row>
    <row r="71" spans="1:8" x14ac:dyDescent="0.3">
      <c r="C71" s="95"/>
      <c r="D71" s="95"/>
      <c r="E71" s="95"/>
      <c r="F71" s="95"/>
      <c r="G71" s="95"/>
      <c r="H71" s="95"/>
    </row>
    <row r="75" spans="1:8" x14ac:dyDescent="0.3">
      <c r="B75" s="116"/>
    </row>
  </sheetData>
  <mergeCells count="13">
    <mergeCell ref="E62:E63"/>
    <mergeCell ref="E8:E9"/>
    <mergeCell ref="E11:E12"/>
    <mergeCell ref="E14:E15"/>
    <mergeCell ref="A65:H65"/>
    <mergeCell ref="E17:E18"/>
    <mergeCell ref="E20:E21"/>
    <mergeCell ref="E39:E40"/>
    <mergeCell ref="E42:E43"/>
    <mergeCell ref="E45:E46"/>
    <mergeCell ref="E48:E49"/>
    <mergeCell ref="E51:E52"/>
    <mergeCell ref="E54:E5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workbookViewId="0">
      <selection activeCell="M15" sqref="M15"/>
    </sheetView>
  </sheetViews>
  <sheetFormatPr defaultRowHeight="14.4" x14ac:dyDescent="0.3"/>
  <cols>
    <col min="4" max="4" width="4.109375" style="104" customWidth="1"/>
    <col min="7" max="7" width="4.21875" style="104" customWidth="1"/>
    <col min="10" max="10" width="4.6640625" style="104" customWidth="1"/>
  </cols>
  <sheetData>
    <row r="2" spans="2:10" ht="15" thickBot="1" x14ac:dyDescent="0.35"/>
    <row r="3" spans="2:10" ht="27" customHeight="1" thickBot="1" x14ac:dyDescent="0.35">
      <c r="B3" s="121" t="s">
        <v>160</v>
      </c>
      <c r="C3" s="122" t="s">
        <v>161</v>
      </c>
      <c r="D3" s="122"/>
      <c r="E3" s="121" t="s">
        <v>160</v>
      </c>
      <c r="F3" s="122" t="s">
        <v>161</v>
      </c>
      <c r="G3" s="122"/>
      <c r="H3" s="121" t="s">
        <v>160</v>
      </c>
      <c r="I3" s="122" t="s">
        <v>161</v>
      </c>
      <c r="J3" s="121"/>
    </row>
    <row r="4" spans="2:10" ht="23.4" x14ac:dyDescent="0.45">
      <c r="B4" s="144">
        <v>1</v>
      </c>
      <c r="C4" s="145" t="str">
        <f>'MC-TF - 20 Pts'!B8</f>
        <v>F</v>
      </c>
      <c r="D4" s="148"/>
      <c r="E4" s="144">
        <v>6</v>
      </c>
      <c r="F4" s="145" t="str">
        <f>'MC-TF - 20 Pts'!B23</f>
        <v>B</v>
      </c>
      <c r="G4" s="148"/>
      <c r="H4" s="144">
        <v>11</v>
      </c>
      <c r="I4" s="145" t="str">
        <f>'MC-TF - 20 Pts'!B48</f>
        <v>F</v>
      </c>
      <c r="J4" s="151"/>
    </row>
    <row r="5" spans="2:10" ht="23.4" x14ac:dyDescent="0.45">
      <c r="B5" s="140">
        <v>2</v>
      </c>
      <c r="C5" s="141" t="str">
        <f>'MC-TF - 20 Pts'!B11</f>
        <v>T</v>
      </c>
      <c r="D5" s="149"/>
      <c r="E5" s="140">
        <v>7</v>
      </c>
      <c r="F5" s="141" t="str">
        <f>'MC-TF - 20 Pts'!B31</f>
        <v>E</v>
      </c>
      <c r="G5" s="149"/>
      <c r="H5" s="140">
        <v>12</v>
      </c>
      <c r="I5" s="141" t="str">
        <f>'MC-TF - 20 Pts'!B51</f>
        <v>T</v>
      </c>
      <c r="J5" s="152"/>
    </row>
    <row r="6" spans="2:10" ht="23.4" x14ac:dyDescent="0.45">
      <c r="B6" s="140">
        <v>3</v>
      </c>
      <c r="C6" s="141" t="str">
        <f>'MC-TF - 20 Pts'!B14</f>
        <v>T</v>
      </c>
      <c r="D6" s="149"/>
      <c r="E6" s="140">
        <v>8</v>
      </c>
      <c r="F6" s="141" t="str">
        <f>'MC-TF - 20 Pts'!B39</f>
        <v>T</v>
      </c>
      <c r="G6" s="149"/>
      <c r="H6" s="140">
        <v>13</v>
      </c>
      <c r="I6" s="141" t="str">
        <f>'MC-TF - 20 Pts'!B54</f>
        <v>E</v>
      </c>
      <c r="J6" s="152"/>
    </row>
    <row r="7" spans="2:10" ht="23.4" x14ac:dyDescent="0.45">
      <c r="B7" s="140">
        <v>4</v>
      </c>
      <c r="C7" s="141" t="str">
        <f>'MC-TF - 20 Pts'!B17</f>
        <v>T</v>
      </c>
      <c r="D7" s="149"/>
      <c r="E7" s="140">
        <v>9</v>
      </c>
      <c r="F7" s="141" t="str">
        <f>'MC-TF - 20 Pts'!B42</f>
        <v>F</v>
      </c>
      <c r="G7" s="149"/>
      <c r="H7" s="140">
        <v>14</v>
      </c>
      <c r="I7" s="141" t="str">
        <f>'MC-TF - 20 Pts'!B62</f>
        <v>F</v>
      </c>
      <c r="J7" s="152"/>
    </row>
    <row r="8" spans="2:10" ht="24" thickBot="1" x14ac:dyDescent="0.5">
      <c r="B8" s="142">
        <v>5</v>
      </c>
      <c r="C8" s="143" t="str">
        <f>'MC-TF - 20 Pts'!B20</f>
        <v>T</v>
      </c>
      <c r="D8" s="150"/>
      <c r="E8" s="142">
        <v>10</v>
      </c>
      <c r="F8" s="143" t="str">
        <f>'MC-TF - 20 Pts'!B45</f>
        <v>F</v>
      </c>
      <c r="G8" s="150"/>
      <c r="H8" s="146"/>
      <c r="I8" s="147"/>
      <c r="J8" s="1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P1 - 25 Pts</vt:lpstr>
      <vt:lpstr>P2 - 5 Pts</vt:lpstr>
      <vt:lpstr>P3 - 5 Pts</vt:lpstr>
      <vt:lpstr>P4 - 10 Pts</vt:lpstr>
      <vt:lpstr>P5 - 15 Pts</vt:lpstr>
      <vt:lpstr>P6 - 20 Pts</vt:lpstr>
      <vt:lpstr>MC-TF - 20 Pts</vt:lpstr>
      <vt:lpstr>Sheet1</vt:lpstr>
      <vt:lpstr>Periods</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2015-03-22T20:34:51Z</dcterms:modified>
</cp:coreProperties>
</file>