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510" yWindow="80" windowWidth="20120" windowHeight="7980" tabRatio="681" activeTab="1"/>
  </bookViews>
  <sheets>
    <sheet name="INSTRUCTIONS" sheetId="6" r:id="rId1"/>
    <sheet name="P1 - 25 Pts" sheetId="2" r:id="rId2"/>
    <sheet name="P2 - 5 Pts" sheetId="10" r:id="rId3"/>
    <sheet name="P3 - 10 Pts" sheetId="11" r:id="rId4"/>
    <sheet name="P4 - 20 Pts" sheetId="1" r:id="rId5"/>
    <sheet name="P5 - 15 Pts" sheetId="5" r:id="rId6"/>
    <sheet name="MC-TF - 25 Pts" sheetId="12" r:id="rId7"/>
  </sheets>
  <definedNames>
    <definedName name="Periods">'P1 - 25 Pts'!$O$21</definedName>
    <definedName name="_xlnm.Print_Area" localSheetId="5">'P5 - 15 Pts'!$B$35:$F$73</definedName>
    <definedName name="Rate">'P1 - 25 Pts'!$F$23</definedName>
    <definedName name="Term">'P1 - 25 Pts'!$F$22</definedName>
  </definedNames>
  <calcPr calcId="144525" iterate="1" iterateDelta="200"/>
</workbook>
</file>

<file path=xl/calcChain.xml><?xml version="1.0" encoding="utf-8"?>
<calcChain xmlns="http://schemas.openxmlformats.org/spreadsheetml/2006/main">
  <c r="P16" i="11" l="1"/>
  <c r="P17" i="11" s="1"/>
  <c r="P18" i="11" s="1"/>
  <c r="P19" i="11" s="1"/>
  <c r="P20" i="11" s="1"/>
  <c r="P21" i="11" s="1"/>
  <c r="P22" i="11" s="1"/>
  <c r="P23" i="11" s="1"/>
  <c r="P24" i="11" s="1"/>
  <c r="P25" i="11" s="1"/>
  <c r="P26" i="11" s="1"/>
  <c r="P27" i="11" s="1"/>
  <c r="P28" i="11" s="1"/>
  <c r="P29" i="11" s="1"/>
  <c r="P30" i="11" s="1"/>
  <c r="P31" i="11" s="1"/>
  <c r="P32" i="11" s="1"/>
  <c r="P33" i="11" s="1"/>
  <c r="P34" i="11" s="1"/>
  <c r="P35" i="11" s="1"/>
  <c r="P36" i="11" s="1"/>
  <c r="P37" i="11" s="1"/>
  <c r="P38" i="11" s="1"/>
  <c r="P39" i="11" s="1"/>
  <c r="P40" i="11" s="1"/>
  <c r="P41" i="11" s="1"/>
  <c r="P42" i="11" s="1"/>
  <c r="P43" i="11" s="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P78" i="11" s="1"/>
  <c r="P15" i="11"/>
  <c r="P14" i="11"/>
  <c r="O16" i="11"/>
  <c r="O17" i="11" s="1"/>
  <c r="O18" i="11" s="1"/>
  <c r="O19" i="11" s="1"/>
  <c r="O20" i="11" s="1"/>
  <c r="O21" i="11" s="1"/>
  <c r="O22" i="11" s="1"/>
  <c r="O23" i="11" s="1"/>
  <c r="O24" i="11" s="1"/>
  <c r="O25" i="11" s="1"/>
  <c r="O26" i="11" s="1"/>
  <c r="O27" i="11" s="1"/>
  <c r="O28" i="11" s="1"/>
  <c r="O29" i="11" s="1"/>
  <c r="O30" i="11" s="1"/>
  <c r="O31" i="11" s="1"/>
  <c r="O32" i="11" s="1"/>
  <c r="O33" i="11" s="1"/>
  <c r="O34" i="11" s="1"/>
  <c r="O35" i="11" s="1"/>
  <c r="O36" i="11" s="1"/>
  <c r="O37" i="11" s="1"/>
  <c r="O38" i="11" s="1"/>
  <c r="O39" i="11" s="1"/>
  <c r="O40" i="11" s="1"/>
  <c r="O41" i="11" s="1"/>
  <c r="O42" i="11" s="1"/>
  <c r="O43" i="11" s="1"/>
  <c r="O44" i="11" s="1"/>
  <c r="O45" i="11" s="1"/>
  <c r="O46" i="11" s="1"/>
  <c r="O47" i="11" s="1"/>
  <c r="O48" i="11" s="1"/>
  <c r="O49" i="11" s="1"/>
  <c r="O50" i="11" s="1"/>
  <c r="O51" i="11" s="1"/>
  <c r="O52" i="11" s="1"/>
  <c r="O53" i="11" s="1"/>
  <c r="O15" i="11"/>
  <c r="O14" i="11"/>
  <c r="D94" i="1" l="1"/>
  <c r="E77" i="1"/>
  <c r="H69" i="1"/>
  <c r="E68" i="1"/>
  <c r="E67" i="1"/>
  <c r="E65" i="1"/>
  <c r="E64" i="1"/>
  <c r="F46" i="1"/>
  <c r="F45" i="1"/>
  <c r="F44" i="1"/>
  <c r="F43" i="1"/>
  <c r="D34" i="1"/>
  <c r="E21" i="1"/>
  <c r="E22" i="1" s="1"/>
  <c r="E23" i="1" s="1"/>
  <c r="E24" i="1" s="1"/>
  <c r="E25" i="1" s="1"/>
  <c r="H16" i="11"/>
  <c r="H18" i="11" s="1"/>
  <c r="H20" i="11" s="1"/>
  <c r="E57" i="5" l="1"/>
  <c r="E58" i="5" s="1"/>
  <c r="D58" i="5"/>
  <c r="D57" i="5"/>
  <c r="E54" i="5"/>
  <c r="E69" i="5"/>
  <c r="E68" i="5"/>
  <c r="E65" i="5"/>
  <c r="E63" i="5"/>
  <c r="D69" i="5"/>
  <c r="D68" i="5"/>
  <c r="D65" i="5"/>
  <c r="D63" i="5"/>
  <c r="D54" i="5"/>
  <c r="E47" i="5"/>
  <c r="E45" i="5"/>
  <c r="E43" i="5"/>
  <c r="E39" i="5"/>
  <c r="D47" i="5"/>
  <c r="D45" i="5"/>
  <c r="D43" i="5"/>
  <c r="D39" i="5"/>
  <c r="F55" i="5"/>
  <c r="J60" i="5"/>
  <c r="I60" i="5"/>
  <c r="H60" i="5"/>
  <c r="I53" i="5"/>
  <c r="H53" i="5"/>
  <c r="I52" i="5"/>
  <c r="H52" i="5"/>
  <c r="J52" i="5" s="1"/>
  <c r="F44" i="5"/>
  <c r="F42" i="5"/>
  <c r="F56" i="5" s="1"/>
  <c r="I40" i="5"/>
  <c r="H40" i="5"/>
  <c r="I38" i="5"/>
  <c r="H38" i="5"/>
  <c r="J38" i="5" s="1"/>
  <c r="F37" i="5"/>
  <c r="F38" i="5" s="1"/>
  <c r="G19" i="10"/>
  <c r="F57" i="5" l="1"/>
  <c r="E66" i="1"/>
  <c r="E69" i="1" s="1"/>
  <c r="G23" i="10"/>
  <c r="G31" i="10" s="1"/>
  <c r="F39" i="5"/>
  <c r="F60" i="5"/>
  <c r="F63" i="5" s="1"/>
  <c r="F65" i="5" s="1"/>
  <c r="J40" i="5"/>
  <c r="F40" i="5" s="1"/>
  <c r="J53" i="5"/>
  <c r="F53" i="5" s="1"/>
  <c r="F52" i="5"/>
  <c r="G30" i="2"/>
  <c r="O21" i="2"/>
  <c r="D31" i="2" l="1"/>
  <c r="D35" i="2" s="1"/>
  <c r="H25" i="2"/>
  <c r="F43" i="5"/>
  <c r="F45" i="5" s="1"/>
  <c r="F54" i="5"/>
  <c r="F58" i="5" s="1"/>
  <c r="E31" i="2"/>
  <c r="D90" i="2"/>
  <c r="D89" i="2"/>
  <c r="D88" i="2"/>
  <c r="D87" i="2"/>
  <c r="D86" i="2"/>
  <c r="D85" i="2"/>
  <c r="D84" i="2"/>
  <c r="D83" i="2"/>
  <c r="D82" i="2"/>
  <c r="D81" i="2"/>
  <c r="D80" i="2"/>
  <c r="D79" i="2"/>
  <c r="D78" i="2"/>
  <c r="D77" i="2"/>
  <c r="D76" i="2"/>
  <c r="D75" i="2"/>
  <c r="D74" i="2"/>
  <c r="D73" i="2"/>
  <c r="D72" i="2"/>
  <c r="D71" i="2"/>
  <c r="D70" i="2"/>
  <c r="D69" i="2"/>
  <c r="D68" i="2"/>
  <c r="D67" i="2"/>
  <c r="H22" i="2" l="1"/>
  <c r="D39" i="2"/>
  <c r="D43" i="2"/>
  <c r="D47" i="2"/>
  <c r="D34" i="2"/>
  <c r="D33" i="2"/>
  <c r="D52" i="2"/>
  <c r="D56" i="2"/>
  <c r="D60" i="2"/>
  <c r="D64" i="2"/>
  <c r="D40" i="2"/>
  <c r="D44" i="2"/>
  <c r="D48" i="2"/>
  <c r="D38" i="2"/>
  <c r="D36" i="2"/>
  <c r="D53" i="2"/>
  <c r="D57" i="2"/>
  <c r="D61" i="2"/>
  <c r="D65" i="2"/>
  <c r="D41" i="2"/>
  <c r="D45" i="2"/>
  <c r="D49" i="2"/>
  <c r="F31" i="2"/>
  <c r="G31" i="2" s="1"/>
  <c r="E32" i="2" s="1"/>
  <c r="D32" i="2"/>
  <c r="F32" i="2" s="1"/>
  <c r="G32" i="2" s="1"/>
  <c r="E33" i="2" s="1"/>
  <c r="F33" i="2" s="1"/>
  <c r="G33" i="2" s="1"/>
  <c r="E34" i="2" s="1"/>
  <c r="F34" i="2" s="1"/>
  <c r="G34" i="2" s="1"/>
  <c r="D54" i="2"/>
  <c r="D58" i="2"/>
  <c r="D62" i="2"/>
  <c r="D66" i="2"/>
  <c r="D42" i="2"/>
  <c r="D46" i="2"/>
  <c r="D50" i="2"/>
  <c r="D37" i="2"/>
  <c r="D51" i="2"/>
  <c r="D55" i="2"/>
  <c r="D59" i="2"/>
  <c r="D63" i="2"/>
  <c r="F46" i="5"/>
  <c r="F47" i="5" s="1"/>
  <c r="F67" i="5" s="1"/>
  <c r="F68" i="5" s="1"/>
  <c r="F69" i="5" s="1"/>
  <c r="F72" i="5" s="1"/>
  <c r="E35" i="2" l="1"/>
  <c r="F35" i="2" s="1"/>
  <c r="G35" i="2" s="1"/>
  <c r="E36" i="2" s="1"/>
  <c r="F36" i="2" s="1"/>
  <c r="G36" i="2" s="1"/>
  <c r="E37" i="2" l="1"/>
  <c r="F37" i="2" s="1"/>
  <c r="G37" i="2" s="1"/>
  <c r="E38" i="2" l="1"/>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<sst xmlns="http://schemas.openxmlformats.org/spreadsheetml/2006/main" count="330" uniqueCount="284">
  <si>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</si>
  <si>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</si>
  <si>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</si>
  <si>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</si>
  <si>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</si>
  <si>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</si>
  <si>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</si>
  <si>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</si>
  <si>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</si>
  <si>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</si>
  <si>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</si>
  <si>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</si>
  <si>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</si>
  <si>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</si>
  <si>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</si>
  <si>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</si>
  <si>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</si>
  <si>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 xml:space="preserve">In the green cell below, create a formala that extrapolates the linear trend from the </t>
  </si>
  <si>
    <t>Sales</t>
  </si>
  <si>
    <t>CGS</t>
  </si>
  <si>
    <t>Net Income</t>
  </si>
  <si>
    <t xml:space="preserve">In the yellow cell below, create ONE formula that will return </t>
  </si>
  <si>
    <t>Input Cell for Year</t>
  </si>
  <si>
    <t>Income Statement</t>
  </si>
  <si>
    <t>2009</t>
  </si>
  <si>
    <t>2010</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</si>
  <si>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</si>
  <si>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</si>
  <si>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</si>
  <si>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</si>
  <si>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</si>
  <si>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</si>
  <si>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</si>
  <si>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</si>
  <si>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</si>
  <si>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</si>
  <si>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</si>
  <si>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</si>
  <si>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</si>
  <si>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</si>
  <si>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</si>
  <si>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</si>
  <si>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</si>
  <si>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</si>
  <si>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</si>
  <si>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</si>
  <si>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</si>
  <si>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</si>
  <si>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</si>
  <si>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</si>
  <si>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</si>
  <si>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</si>
  <si>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</si>
  <si>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</si>
  <si>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</si>
  <si>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</si>
  <si>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</si>
  <si>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NOTHING SHOULD BE USED OR ACCESSED BY YOU DURING THIS</t>
  </si>
  <si>
    <t>TEST EXCEPT THE COMPUTER YOU ARE USING AND THIS FILE, AND</t>
  </si>
  <si>
    <t>BLACKBOARD WHEN YOU SUBMIT YOUR COMPLETED EXAM.</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</si>
  <si>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</si>
  <si>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</si>
  <si>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</si>
  <si>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</si>
  <si>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</si>
  <si>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</si>
  <si>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</si>
  <si>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</si>
  <si>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</si>
  <si>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</si>
  <si>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</si>
  <si>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</si>
  <si>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</si>
  <si>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</si>
  <si>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</si>
  <si>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</si>
  <si>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</si>
  <si>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</si>
  <si>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</si>
  <si>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</si>
  <si>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</si>
  <si>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</si>
  <si>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</si>
  <si>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Time:</t>
  </si>
  <si>
    <t>represented by $X in the timeline, are all identical amounts. In the space below,</t>
  </si>
  <si>
    <t xml:space="preserve">if the discount rate is 10% per year compounded annually. The three missing cash flows, </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</si>
  <si>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</si>
  <si>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</si>
  <si>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</si>
  <si>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</si>
  <si>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</si>
  <si>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</si>
  <si>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</si>
  <si>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</si>
  <si>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</si>
  <si>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</si>
  <si>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</si>
  <si>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</si>
  <si>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</si>
  <si>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</si>
  <si>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</si>
  <si>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</si>
  <si>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</si>
  <si>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</si>
  <si>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</si>
  <si>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</si>
  <si>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</si>
  <si>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</si>
  <si>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One formula --&gt;</t>
  </si>
  <si>
    <t>given in the input cell. [3 Points]</t>
  </si>
  <si>
    <t>Points as marked for each question.</t>
  </si>
  <si>
    <t>Percent Change in Sales from 2010</t>
  </si>
  <si>
    <t>Tax Rate for 2011</t>
  </si>
  <si>
    <t>Common Stock Dividend for 2011</t>
  </si>
  <si>
    <t>Expected addition to Plant and Equipment in 2011</t>
  </si>
  <si>
    <t>Additional depreciation on new Plant/Equip in 2011</t>
  </si>
  <si>
    <t>2011</t>
  </si>
  <si>
    <t>Excess/(Deficit) Financing for 2011</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</si>
  <si>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</si>
  <si>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</si>
  <si>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</si>
  <si>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</si>
  <si>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</si>
  <si>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</si>
  <si>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Complete the written portion and give it to your proctor.</t>
  </si>
  <si>
    <t xml:space="preserve">You are planning for your retirement. Your goal is to accumulate enough money in </t>
  </si>
  <si>
    <t>your retirement account to pay out $150,000 per year for 20 years starting on January 1, 2057.</t>
  </si>
  <si>
    <t>The account will have a zero balance after the 20 withdrawals.</t>
  </si>
  <si>
    <t xml:space="preserve">You plan to make annual deposits into your retirement account on January 1 of every year from 2012 </t>
  </si>
  <si>
    <t>to 2051 (40 deposits). The average annual interest rate you expect to earn on the account is</t>
  </si>
  <si>
    <t>given in the green input cell below. In the space provided, create whatever formulas are needed</t>
  </si>
  <si>
    <t>to compute the amount of the dollar amount of the annual deposits that will be needed to meet your goal.</t>
  </si>
  <si>
    <t>Ignore taxes. Lable your computation steps to enable partial credit. Your formulas should work</t>
  </si>
  <si>
    <t>for any positive value of the input interest rate.</t>
  </si>
  <si>
    <t>Average annual interest rate earned on the account:</t>
  </si>
  <si>
    <t>Computations</t>
  </si>
  <si>
    <t>Amount needed on 01/01/2057</t>
  </si>
  <si>
    <t>PV of above on 01/01/2012</t>
  </si>
  <si>
    <t>Amount of each of the 40 payments that</t>
  </si>
  <si>
    <t>has the same value today as #2 above</t>
  </si>
  <si>
    <t>#1</t>
  </si>
  <si>
    <t>#2</t>
  </si>
  <si>
    <t>#3</t>
  </si>
  <si>
    <t>&lt;-- Answer</t>
  </si>
  <si>
    <t xml:space="preserve">for the first three years, but then will pay an equal amount each year for 6 years, and then </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</si>
  <si>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[ 4 Points ]</t>
    </r>
  </si>
  <si>
    <t xml:space="preserve">Create the necessary formulas in the yellow cells to compute the effective annual </t>
  </si>
  <si>
    <t>interest rates for the input nominal annual rate given the listed compounding periods.</t>
  </si>
  <si>
    <t>Your formulas should work for any reasonable value of the input. [6 Points]</t>
  </si>
  <si>
    <t>Nominal Annual Interest Rate (Input)</t>
  </si>
  <si>
    <t xml:space="preserve">Compounding
</t>
  </si>
  <si>
    <t>Effective
Annual
Rate</t>
  </si>
  <si>
    <t>Daily</t>
  </si>
  <si>
    <t>Continuous</t>
  </si>
  <si>
    <t>PV at t=0 of CF1-2</t>
  </si>
  <si>
    <t>PV at t=0 of CF6-8</t>
  </si>
  <si>
    <t>The total present value of all 8 cash flows, including the three missing ones, is $3,000</t>
  </si>
  <si>
    <t>hard-code the numbers in the formulas but the formulas must be shown. [ 4 Points ]</t>
  </si>
  <si>
    <t>For 3 points extra credit, do all of the calculations in ONE FORMULA.</t>
  </si>
  <si>
    <t>Value of unknowns at t=2</t>
  </si>
  <si>
    <t xml:space="preserve">the EBIT from the table at the right for the year </t>
  </si>
  <si>
    <t>5 years of sales and uses it to estimate 2010 sales. [3 Points]</t>
  </si>
  <si>
    <t>WHILE TAKING THIS EXAM. YOU MAY ACCESS EXCEL'S INTERNAL HELP SYSTEM.</t>
  </si>
  <si>
    <t>There are 7 tabbed pages in this exam spreadsheet including this one.</t>
  </si>
  <si>
    <t>The last tab contains multiple choice and true/false questions that count for</t>
  </si>
  <si>
    <t>25 points of the 100 point total for the exam.</t>
  </si>
  <si>
    <t>Tell your proctor that you have finished.</t>
  </si>
  <si>
    <t>Objective Section - 25 Points Possible</t>
  </si>
  <si>
    <t>-2 Points for each incorrect answer.</t>
  </si>
  <si>
    <t>For True/False questions, enter TRUE or FALSE in the yellow cell.</t>
  </si>
  <si>
    <t>For multiple choice questions, enter the letter of the best reponse in the yellow cell.</t>
  </si>
  <si>
    <t>The "nonimal" or "stated" rate on a loan or investment is always less than the effective  rate except in the case of annual compounding when the nominal and effective rates are equal. (True or False?)</t>
  </si>
  <si>
    <t>The present value of a given payment to be received in the future will increase as the frequency of compounding increases, other things equal.  (True or False?)</t>
  </si>
  <si>
    <t>The present value of a future cash flow decreases as the expected inflation rate increases, other things equal.  (True or False?)</t>
  </si>
  <si>
    <t>On certificates of deposit, Bank A pays 8.3% per year compounded annually and Bank B pays 8.0% per year compounded quarterly. Bank B pays the higher effective rate.  (True or False?)</t>
  </si>
  <si>
    <t>5.</t>
  </si>
  <si>
    <t>Borrowers prefer a higher frequency of compounding of the interest rate on the loan as opposed to a lower frequency, other things equal. (True or False?)</t>
  </si>
  <si>
    <t>6.</t>
  </si>
  <si>
    <t>The present value of an investment will decrease if:</t>
  </si>
  <si>
    <t>E</t>
  </si>
  <si>
    <t>A.</t>
  </si>
  <si>
    <t>the discount rate increases.</t>
  </si>
  <si>
    <t>B.</t>
  </si>
  <si>
    <t>the discount rate decreases.</t>
  </si>
  <si>
    <t>C.</t>
  </si>
  <si>
    <t>the compounding frequency increases.</t>
  </si>
  <si>
    <t>D.</t>
  </si>
  <si>
    <t>B and C are both correct.</t>
  </si>
  <si>
    <t>E.</t>
  </si>
  <si>
    <t>A and C are both correct.</t>
  </si>
  <si>
    <t>7.</t>
  </si>
  <si>
    <t>Today is January 1st. You have an investment account with a current balance of $10,000. The interest rate on the account is 12% per year compounded monthly. Suppose you withdraw exactly $1260 on Dec. 31st of each year and leave the rest of the money in the account to gain interest. If you observe the account balance on January 1st of each year, which of the following best describes the behavior of the account balance over time?</t>
  </si>
  <si>
    <t>A</t>
  </si>
  <si>
    <t>It will increase.</t>
  </si>
  <si>
    <t>It will remain unchanged.</t>
  </si>
  <si>
    <t>It will decrease.</t>
  </si>
  <si>
    <t>Two of the above.</t>
  </si>
  <si>
    <t>None of the above.</t>
  </si>
  <si>
    <t>8.</t>
  </si>
  <si>
    <t>Mr. Lynch has just won the Million Dollar Lottery and will receive $100,000 per year for 10 years. He has asked for your advice. Instead of paying Mr. Lynch 10 annual payments, the lottery commission has offered to pay him the present value of the payment stream (using an 8% annual discount rate and annual compounding). Mr. Lynch believes that a more appropriate discount rate would be 10% per year, since he believes he can earn at least that much on his investments in the future. What should Mr. Lunch do to get the most value from his winnings?</t>
  </si>
  <si>
    <t>B</t>
  </si>
  <si>
    <t>Mr. Lynch should reject the offer since his calculated present value is less that the commission's assumed present value, so he could make more by taking the annual payments and investing them.</t>
  </si>
  <si>
    <t>Mr. Lynch should accept the commission's offer because if he invests the lump payment for 10 years he will end up with more money than if he invested the annual $100,000 payments over the same period.</t>
  </si>
  <si>
    <t>Mr. Lynch should reject the offer since his required rate of return is greater than the commission's discount rate.</t>
  </si>
  <si>
    <t>Mr. Lynch should be indifferent between the two scenarios since he will receive the same amount of money over time no matter with alternative he selects.</t>
  </si>
  <si>
    <t>9.</t>
  </si>
  <si>
    <t>In a world with no inflation and no risk, rational investors would not require any interest to lend their money to someone else for a period of time.  (True or False?)</t>
  </si>
  <si>
    <t>10.</t>
  </si>
  <si>
    <t>The Y-axis (verticle) intercept of the Security Market Line indicates:</t>
  </si>
  <si>
    <t>D</t>
  </si>
  <si>
    <t>The requried rate of return for a security with a beta coefficient of 1.0.</t>
  </si>
  <si>
    <t>The requried rate of return for a security with a beta coefficient of 0.0.</t>
  </si>
  <si>
    <t>The requried rate of return for a s risk-free security.</t>
  </si>
  <si>
    <t>11.</t>
  </si>
  <si>
    <t>The Capital Asset Pricing Model, as represented by the Security Market Line, tells us that investments that have higher nondiversifiable risk will always produce higher rates of return. (True or False?)</t>
  </si>
  <si>
    <t>12.</t>
  </si>
  <si>
    <t>It is not possible for a stock to have a beta coefficient that is less than 0. (True or False?)</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</si>
  <si>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</si>
  <si>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</si>
  <si>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</si>
  <si>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</si>
  <si>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</si>
  <si>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</si>
  <si>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</si>
  <si>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</si>
  <si>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</si>
  <si>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</si>
  <si>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</si>
  <si>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</si>
  <si>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</si>
  <si>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</si>
  <si>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</si>
  <si>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</si>
  <si>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</si>
  <si>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</si>
  <si>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</si>
  <si>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</si>
  <si>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</si>
  <si>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</si>
  <si>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</si>
  <si>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</si>
  <si>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</si>
  <si>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</si>
  <si>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Deposit 26</t>
  </si>
  <si>
    <t>Deposit 27</t>
  </si>
  <si>
    <t>Deposit 28</t>
  </si>
  <si>
    <t>Deposit 29</t>
  </si>
  <si>
    <t>Deposit 30</t>
  </si>
  <si>
    <t>Deposit 31</t>
  </si>
  <si>
    <t>Deposit 32</t>
  </si>
  <si>
    <t>Deposit 33</t>
  </si>
  <si>
    <t>Deposit 34</t>
  </si>
  <si>
    <t>Deposit 35</t>
  </si>
  <si>
    <t>Deposit 36</t>
  </si>
  <si>
    <t>Deposit 37</t>
  </si>
  <si>
    <t>Deposit 38</t>
  </si>
  <si>
    <t>Deposit 39</t>
  </si>
  <si>
    <t>Deposit 40</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</si>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</sst>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9" xfId="0" applyBorder="1"/>
    <xf numFmtId="0" fontId="3" fillId="3" borderId="2" xfId="0" applyFont="1" applyFill="1" applyBorder="1" applyAlignment="1">
      <alignment horizontal="center" wrapText="1"/>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5"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9" xfId="0" applyNumberFormat="1" applyBorder="1"/>
    <xf numFmtId="41" fontId="8" fillId="6" borderId="15" xfId="0" applyNumberFormat="1" applyFont="1" applyFill="1" applyBorder="1"/>
    <xf numFmtId="41" fontId="9" fillId="0" borderId="0" xfId="0" applyNumberFormat="1" applyFont="1"/>
    <xf numFmtId="41" fontId="8" fillId="0" borderId="0" xfId="0" applyNumberFormat="1" applyFont="1"/>
    <xf numFmtId="41" fontId="8" fillId="0" borderId="9" xfId="0" applyNumberFormat="1" applyFont="1" applyBorder="1"/>
    <xf numFmtId="41" fontId="3" fillId="0" borderId="9" xfId="0" applyNumberFormat="1" applyFont="1" applyBorder="1"/>
    <xf numFmtId="41" fontId="8" fillId="6" borderId="16"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9"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9" xfId="0" applyNumberFormat="1" applyFont="1" applyBorder="1" applyAlignment="1">
      <alignment horizontal="left" indent="5"/>
    </xf>
    <xf numFmtId="6" fontId="12" fillId="0" borderId="9" xfId="0" applyNumberFormat="1" applyFont="1" applyBorder="1"/>
    <xf numFmtId="166" fontId="12" fillId="0" borderId="0" xfId="0" applyNumberFormat="1" applyFont="1"/>
    <xf numFmtId="165" fontId="12" fillId="0" borderId="0" xfId="0" applyNumberFormat="1" applyFont="1"/>
    <xf numFmtId="0" fontId="0" fillId="0" borderId="0" xfId="0" applyAlignment="1">
      <alignment horizontal="left" indent="3"/>
    </xf>
    <xf numFmtId="0" fontId="0" fillId="0" borderId="9"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0" fontId="0" fillId="2" borderId="1" xfId="0" applyNumberFormat="1" applyFill="1" applyBorder="1"/>
    <xf numFmtId="9" fontId="0" fillId="0" borderId="0" xfId="0" applyNumberForma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41" fontId="8" fillId="6" borderId="16" xfId="0" quotePrefix="1" applyNumberFormat="1" applyFont="1" applyFill="1" applyBorder="1" applyAlignment="1">
      <alignment horizontal="center" vertical="center"/>
    </xf>
    <xf numFmtId="165" fontId="0" fillId="2" borderId="1" xfId="3" applyNumberFormat="1" applyFont="1" applyFill="1" applyBorder="1"/>
    <xf numFmtId="10" fontId="2" fillId="0" borderId="0" xfId="3" applyNumberFormat="1" applyFont="1"/>
    <xf numFmtId="41" fontId="5" fillId="2" borderId="0" xfId="0" applyNumberFormat="1" applyFont="1" applyFill="1"/>
    <xf numFmtId="0" fontId="0" fillId="0" borderId="0" xfId="0"/>
    <xf numFmtId="8" fontId="0" fillId="0" borderId="0" xfId="0" applyNumberFormat="1"/>
    <xf numFmtId="0" fontId="0" fillId="0" borderId="9" xfId="0" applyBorder="1"/>
    <xf numFmtId="0" fontId="0" fillId="0" borderId="0" xfId="0" quotePrefix="1"/>
    <xf numFmtId="10" fontId="0" fillId="7" borderId="1" xfId="0" applyNumberFormat="1" applyFill="1" applyBorder="1"/>
    <xf numFmtId="41" fontId="0" fillId="2" borderId="0" xfId="0" applyNumberFormat="1" applyFill="1"/>
    <xf numFmtId="0" fontId="0" fillId="0" borderId="0" xfId="0"/>
    <xf numFmtId="0" fontId="0" fillId="0" borderId="0" xfId="0"/>
    <xf numFmtId="0" fontId="0" fillId="0" borderId="10"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7" xfId="2" applyNumberFormat="1" applyFont="1" applyBorder="1" applyAlignment="1">
      <alignment horizontal="center"/>
    </xf>
    <xf numFmtId="0" fontId="0" fillId="0" borderId="17" xfId="0" applyBorder="1" applyAlignment="1">
      <alignment horizontal="center"/>
    </xf>
    <xf numFmtId="0" fontId="0" fillId="0" borderId="0" xfId="0"/>
    <xf numFmtId="0" fontId="0" fillId="0" borderId="0" xfId="0"/>
    <xf numFmtId="0" fontId="0" fillId="0" borderId="9"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8" xfId="3" applyNumberFormat="1" applyFont="1" applyFill="1" applyBorder="1"/>
    <xf numFmtId="0" fontId="3" fillId="0" borderId="16" xfId="0" applyFont="1" applyBorder="1" applyAlignment="1">
      <alignment horizontal="center" wrapText="1"/>
    </xf>
    <xf numFmtId="0" fontId="0" fillId="0" borderId="9" xfId="0" applyBorder="1" applyAlignment="1">
      <alignment horizontal="center"/>
    </xf>
    <xf numFmtId="0" fontId="0" fillId="0" borderId="0" xfId="0"/>
    <xf numFmtId="0" fontId="0" fillId="0" borderId="0" xfId="0" quotePrefix="1"/>
    <xf numFmtId="0" fontId="0" fillId="0" borderId="0" xfId="0"/>
    <xf numFmtId="0" fontId="0" fillId="0" borderId="0" xfId="0" quotePrefix="1"/>
    <xf numFmtId="0" fontId="0" fillId="0" borderId="0" xfId="0"/>
    <xf numFmtId="0" fontId="13" fillId="0" borderId="0" xfId="0" applyFont="1"/>
    <xf numFmtId="0" fontId="0" fillId="0" borderId="0" xfId="0"/>
    <xf numFmtId="0" fontId="1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4" xfId="0" applyFont="1" applyFill="1" applyBorder="1" applyAlignment="1">
      <alignment horizontal="center"/>
    </xf>
    <xf numFmtId="0" fontId="3" fillId="4" borderId="5" xfId="0" applyFont="1" applyFill="1" applyBorder="1" applyAlignment="1">
      <alignment horizontal="center"/>
    </xf>
    <xf numFmtId="0" fontId="3" fillId="4" borderId="10" xfId="0" applyFont="1" applyFill="1" applyBorder="1" applyAlignment="1">
      <alignment horizontal="center"/>
    </xf>
    <xf numFmtId="164" fontId="0" fillId="5" borderId="8" xfId="2" applyNumberFormat="1" applyFont="1" applyFill="1" applyBorder="1"/>
    <xf numFmtId="41" fontId="5" fillId="0" borderId="0" xfId="0" applyNumberFormat="1" applyFont="1"/>
    <xf numFmtId="164" fontId="0" fillId="4" borderId="6" xfId="2" applyNumberFormat="1" applyFont="1" applyFill="1" applyBorder="1"/>
    <xf numFmtId="164" fontId="0" fillId="4" borderId="7" xfId="2" applyNumberFormat="1" applyFont="1" applyFill="1" applyBorder="1"/>
    <xf numFmtId="0" fontId="0" fillId="0" borderId="0" xfId="0"/>
    <xf numFmtId="0" fontId="11" fillId="0" borderId="0" xfId="0" applyFont="1"/>
    <xf numFmtId="0" fontId="14" fillId="0" borderId="0" xfId="0" applyFont="1"/>
    <xf numFmtId="0" fontId="0" fillId="0" borderId="0" xfId="0"/>
    <xf numFmtId="0" fontId="0" fillId="0" borderId="0" xfId="0" applyAlignment="1">
      <alignment horizontal="center"/>
    </xf>
    <xf numFmtId="0" fontId="3" fillId="0" borderId="0" xfId="0" applyFont="1"/>
    <xf numFmtId="0" fontId="3" fillId="0" borderId="0" xfId="0" applyFont="1" applyAlignment="1">
      <alignment horizontal="center"/>
    </xf>
    <xf numFmtId="0" fontId="0" fillId="0" borderId="0" xfId="0" quotePrefix="1" applyAlignment="1">
      <alignment horizontal="right" vertical="center"/>
    </xf>
    <xf numFmtId="0" fontId="3" fillId="2" borderId="1" xfId="0" applyFont="1" applyFill="1" applyBorder="1" applyAlignment="1">
      <alignment horizontal="center"/>
    </xf>
    <xf numFmtId="0" fontId="0" fillId="0" borderId="0" xfId="0" applyAlignment="1">
      <alignment vertical="top"/>
    </xf>
    <xf numFmtId="0" fontId="0" fillId="0" borderId="0" xfId="0" applyAlignment="1">
      <alignment vertical="top" wrapText="1"/>
    </xf>
    <xf numFmtId="0" fontId="16" fillId="0" borderId="0" xfId="0" applyFont="1" applyAlignment="1">
      <alignment horizontal="center" vertical="center"/>
    </xf>
    <xf numFmtId="0" fontId="3" fillId="0" borderId="0" xfId="0" quotePrefix="1" applyFont="1" applyAlignment="1">
      <alignment horizontal="center"/>
    </xf>
    <xf numFmtId="0" fontId="3" fillId="2" borderId="16" xfId="0" applyFont="1" applyFill="1" applyBorder="1" applyAlignment="1">
      <alignment horizontal="center"/>
    </xf>
    <xf numFmtId="8" fontId="0" fillId="2" borderId="12" xfId="2" applyNumberFormat="1" applyFont="1" applyFill="1" applyBorder="1"/>
    <xf numFmtId="44" fontId="0" fillId="2" borderId="13" xfId="2" applyFont="1" applyFill="1" applyBorder="1"/>
    <xf numFmtId="41" fontId="7" fillId="0" borderId="9" xfId="0" applyNumberFormat="1" applyFont="1" applyBorder="1" applyAlignment="1">
      <alignment horizontal="center"/>
    </xf>
    <xf numFmtId="41" fontId="8" fillId="6" borderId="16" xfId="0" applyNumberFormat="1" applyFont="1" applyFill="1" applyBorder="1" applyAlignment="1">
      <alignment horizontal="center" vertical="center"/>
    </xf>
    <xf numFmtId="41" fontId="8" fillId="6" borderId="16" xfId="0" quotePrefix="1" applyNumberFormat="1" applyFont="1" applyFill="1" applyBorder="1" applyAlignment="1">
      <alignment horizontal="center" vertical="center"/>
    </xf>
    <xf numFmtId="0" fontId="0" fillId="0" borderId="0" xfId="0" applyAlignment="1">
      <alignment horizontal="left" vertical="top" wrapText="1"/>
    </xf>
    <xf numFmtId="0" fontId="3" fillId="8" borderId="12"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13" xfId="0" applyFont="1" applyFill="1" applyBorder="1" applyAlignment="1">
      <alignment horizontal="center" vertical="center"/>
    </xf>
    <xf numFmtId="14" fontId="0" fillId="0" borderId="0" xfId="0" applyNumberFormat="1"/>
    <xf numFmtId="0" fontId="0" fillId="0" borderId="0" xfId="0" applyAlignment="1">
      <alignment horizontal="left" inden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5%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374650</xdr:colOff>
      <xdr:row>21</xdr:row>
      <xdr:rowOff>165100</xdr:rowOff>
    </xdr:from>
    <xdr:to>
      <xdr:col>11</xdr:col>
      <xdr:colOff>381000</xdr:colOff>
      <xdr:row>28</xdr:row>
      <xdr:rowOff>0</xdr:rowOff>
    </xdr:to>
    <xdr:sp macro="" textlink="">
      <xdr:nvSpPr>
        <xdr:cNvPr id="2" name="Rounded Rectangle 1"/>
        <xdr:cNvSpPr/>
      </xdr:nvSpPr>
      <xdr:spPr>
        <a:xfrm>
          <a:off x="3124200" y="4178300"/>
          <a:ext cx="4337050" cy="1123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4</xdr:col>
      <xdr:colOff>308424</xdr:colOff>
      <xdr:row>51</xdr:row>
      <xdr:rowOff>83618</xdr:rowOff>
    </xdr:from>
    <xdr:to>
      <xdr:col>4</xdr:col>
      <xdr:colOff>310012</xdr:colOff>
      <xdr:row>52</xdr:row>
      <xdr:rowOff>116750</xdr:rowOff>
    </xdr:to>
    <xdr:cxnSp macro="">
      <xdr:nvCxnSpPr>
        <xdr:cNvPr id="58" name="Straight Connector 57"/>
        <xdr:cNvCxnSpPr/>
      </xdr:nvCxnSpPr>
      <xdr:spPr>
        <a:xfrm rot="5400000">
          <a:off x="2702891" y="10698369"/>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93074</xdr:colOff>
      <xdr:row>51</xdr:row>
      <xdr:rowOff>94665</xdr:rowOff>
    </xdr:from>
    <xdr:to>
      <xdr:col>5</xdr:col>
      <xdr:colOff>94662</xdr:colOff>
      <xdr:row>52</xdr:row>
      <xdr:rowOff>127797</xdr:rowOff>
    </xdr:to>
    <xdr:cxnSp macro="">
      <xdr:nvCxnSpPr>
        <xdr:cNvPr id="59" name="Straight Connector 58"/>
        <xdr:cNvCxnSpPr/>
      </xdr:nvCxnSpPr>
      <xdr:spPr>
        <a:xfrm rot="5400000">
          <a:off x="3448323" y="10709416"/>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59946</xdr:colOff>
      <xdr:row>51</xdr:row>
      <xdr:rowOff>89143</xdr:rowOff>
    </xdr:from>
    <xdr:to>
      <xdr:col>7</xdr:col>
      <xdr:colOff>61534</xdr:colOff>
      <xdr:row>52</xdr:row>
      <xdr:rowOff>122275</xdr:rowOff>
    </xdr:to>
    <xdr:cxnSp macro="">
      <xdr:nvCxnSpPr>
        <xdr:cNvPr id="60" name="Straight Connector 59"/>
        <xdr:cNvCxnSpPr/>
      </xdr:nvCxnSpPr>
      <xdr:spPr>
        <a:xfrm rot="5400000">
          <a:off x="4734891" y="10703894"/>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667336</xdr:colOff>
      <xdr:row>51</xdr:row>
      <xdr:rowOff>72578</xdr:rowOff>
    </xdr:from>
    <xdr:to>
      <xdr:col>5</xdr:col>
      <xdr:colOff>668924</xdr:colOff>
      <xdr:row>52</xdr:row>
      <xdr:rowOff>105710</xdr:rowOff>
    </xdr:to>
    <xdr:cxnSp macro="">
      <xdr:nvCxnSpPr>
        <xdr:cNvPr id="61" name="Straight Connector 60"/>
        <xdr:cNvCxnSpPr/>
      </xdr:nvCxnSpPr>
      <xdr:spPr>
        <a:xfrm rot="5400000">
          <a:off x="4022585" y="10687329"/>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645250</xdr:colOff>
      <xdr:row>51</xdr:row>
      <xdr:rowOff>89143</xdr:rowOff>
    </xdr:from>
    <xdr:to>
      <xdr:col>7</xdr:col>
      <xdr:colOff>646838</xdr:colOff>
      <xdr:row>52</xdr:row>
      <xdr:rowOff>122275</xdr:rowOff>
    </xdr:to>
    <xdr:cxnSp macro="">
      <xdr:nvCxnSpPr>
        <xdr:cNvPr id="62" name="Straight Connector 61"/>
        <xdr:cNvCxnSpPr/>
      </xdr:nvCxnSpPr>
      <xdr:spPr>
        <a:xfrm rot="5400000">
          <a:off x="5320195" y="10703894"/>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418858</xdr:colOff>
      <xdr:row>51</xdr:row>
      <xdr:rowOff>89144</xdr:rowOff>
    </xdr:from>
    <xdr:to>
      <xdr:col>8</xdr:col>
      <xdr:colOff>420446</xdr:colOff>
      <xdr:row>52</xdr:row>
      <xdr:rowOff>122276</xdr:rowOff>
    </xdr:to>
    <xdr:cxnSp macro="">
      <xdr:nvCxnSpPr>
        <xdr:cNvPr id="63" name="Straight Connector 62"/>
        <xdr:cNvCxnSpPr/>
      </xdr:nvCxnSpPr>
      <xdr:spPr>
        <a:xfrm rot="5400000">
          <a:off x="5949673" y="10703895"/>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689424</xdr:colOff>
      <xdr:row>51</xdr:row>
      <xdr:rowOff>78096</xdr:rowOff>
    </xdr:from>
    <xdr:to>
      <xdr:col>2</xdr:col>
      <xdr:colOff>691012</xdr:colOff>
      <xdr:row>52</xdr:row>
      <xdr:rowOff>111228</xdr:rowOff>
    </xdr:to>
    <xdr:cxnSp macro="">
      <xdr:nvCxnSpPr>
        <xdr:cNvPr id="64" name="Straight Connector 63"/>
        <xdr:cNvCxnSpPr/>
      </xdr:nvCxnSpPr>
      <xdr:spPr>
        <a:xfrm rot="5400000">
          <a:off x="1090543" y="10692847"/>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534814</xdr:colOff>
      <xdr:row>51</xdr:row>
      <xdr:rowOff>83618</xdr:rowOff>
    </xdr:from>
    <xdr:to>
      <xdr:col>3</xdr:col>
      <xdr:colOff>536402</xdr:colOff>
      <xdr:row>52</xdr:row>
      <xdr:rowOff>116750</xdr:rowOff>
    </xdr:to>
    <xdr:cxnSp macro="">
      <xdr:nvCxnSpPr>
        <xdr:cNvPr id="65" name="Straight Connector 64"/>
        <xdr:cNvCxnSpPr/>
      </xdr:nvCxnSpPr>
      <xdr:spPr>
        <a:xfrm rot="5400000">
          <a:off x="1813890" y="10698369"/>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458303</xdr:colOff>
      <xdr:row>52</xdr:row>
      <xdr:rowOff>160130</xdr:rowOff>
    </xdr:from>
    <xdr:to>
      <xdr:col>3</xdr:col>
      <xdr:colOff>55215</xdr:colOff>
      <xdr:row>54</xdr:row>
      <xdr:rowOff>16566</xdr:rowOff>
    </xdr:to>
    <xdr:sp macro="" textlink="">
      <xdr:nvSpPr>
        <xdr:cNvPr id="66" name="TextBox 65"/>
        <xdr:cNvSpPr txBox="1"/>
      </xdr:nvSpPr>
      <xdr:spPr>
        <a:xfrm>
          <a:off x="966303" y="10850217"/>
          <a:ext cx="474869" cy="22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$500</a:t>
          </a:r>
        </a:p>
      </xdr:txBody>
    </xdr:sp>
    <xdr:clientData/>
  </xdr:twoCellAnchor>
  <xdr:twoCellAnchor>
    <xdr:from>
      <xdr:col>3</xdr:col>
      <xdr:colOff>270565</xdr:colOff>
      <xdr:row>52</xdr:row>
      <xdr:rowOff>165652</xdr:rowOff>
    </xdr:from>
    <xdr:to>
      <xdr:col>3</xdr:col>
      <xdr:colOff>745434</xdr:colOff>
      <xdr:row>54</xdr:row>
      <xdr:rowOff>22088</xdr:rowOff>
    </xdr:to>
    <xdr:sp macro="" textlink="">
      <xdr:nvSpPr>
        <xdr:cNvPr id="67" name="TextBox 66"/>
        <xdr:cNvSpPr txBox="1"/>
      </xdr:nvSpPr>
      <xdr:spPr>
        <a:xfrm>
          <a:off x="1656522" y="10855739"/>
          <a:ext cx="474869" cy="22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$500</a:t>
          </a:r>
        </a:p>
      </xdr:txBody>
    </xdr:sp>
    <xdr:clientData/>
  </xdr:twoCellAnchor>
  <xdr:twoCellAnchor>
    <xdr:from>
      <xdr:col>4</xdr:col>
      <xdr:colOff>861389</xdr:colOff>
      <xdr:row>52</xdr:row>
      <xdr:rowOff>176694</xdr:rowOff>
    </xdr:from>
    <xdr:to>
      <xdr:col>5</xdr:col>
      <xdr:colOff>270563</xdr:colOff>
      <xdr:row>54</xdr:row>
      <xdr:rowOff>38652</xdr:rowOff>
    </xdr:to>
    <xdr:sp macro="" textlink="">
      <xdr:nvSpPr>
        <xdr:cNvPr id="68" name="TextBox 67"/>
        <xdr:cNvSpPr txBox="1"/>
      </xdr:nvSpPr>
      <xdr:spPr>
        <a:xfrm>
          <a:off x="3362737" y="10866781"/>
          <a:ext cx="369956" cy="226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5</xdr:col>
      <xdr:colOff>519043</xdr:colOff>
      <xdr:row>52</xdr:row>
      <xdr:rowOff>182215</xdr:rowOff>
    </xdr:from>
    <xdr:to>
      <xdr:col>6</xdr:col>
      <xdr:colOff>176694</xdr:colOff>
      <xdr:row>54</xdr:row>
      <xdr:rowOff>44173</xdr:rowOff>
    </xdr:to>
    <xdr:sp macro="" textlink="">
      <xdr:nvSpPr>
        <xdr:cNvPr id="69" name="TextBox 68"/>
        <xdr:cNvSpPr txBox="1"/>
      </xdr:nvSpPr>
      <xdr:spPr>
        <a:xfrm>
          <a:off x="3981173" y="10872302"/>
          <a:ext cx="369956" cy="226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6</xdr:col>
      <xdr:colOff>447259</xdr:colOff>
      <xdr:row>53</xdr:row>
      <xdr:rowOff>5522</xdr:rowOff>
    </xdr:from>
    <xdr:to>
      <xdr:col>7</xdr:col>
      <xdr:colOff>314736</xdr:colOff>
      <xdr:row>54</xdr:row>
      <xdr:rowOff>44175</xdr:rowOff>
    </xdr:to>
    <xdr:sp macro="" textlink="">
      <xdr:nvSpPr>
        <xdr:cNvPr id="70" name="TextBox 69"/>
        <xdr:cNvSpPr txBox="1"/>
      </xdr:nvSpPr>
      <xdr:spPr>
        <a:xfrm>
          <a:off x="4621694" y="10877826"/>
          <a:ext cx="474868" cy="22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$500</a:t>
          </a:r>
        </a:p>
      </xdr:txBody>
    </xdr:sp>
    <xdr:clientData/>
  </xdr:twoCellAnchor>
  <xdr:twoCellAnchor>
    <xdr:from>
      <xdr:col>4</xdr:col>
      <xdr:colOff>165650</xdr:colOff>
      <xdr:row>53</xdr:row>
      <xdr:rowOff>0</xdr:rowOff>
    </xdr:from>
    <xdr:to>
      <xdr:col>4</xdr:col>
      <xdr:colOff>535606</xdr:colOff>
      <xdr:row>54</xdr:row>
      <xdr:rowOff>44175</xdr:rowOff>
    </xdr:to>
    <xdr:sp macro="" textlink="">
      <xdr:nvSpPr>
        <xdr:cNvPr id="71" name="TextBox 70"/>
        <xdr:cNvSpPr txBox="1"/>
      </xdr:nvSpPr>
      <xdr:spPr>
        <a:xfrm>
          <a:off x="2666998" y="10872304"/>
          <a:ext cx="369956" cy="226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7</xdr:col>
      <xdr:colOff>419652</xdr:colOff>
      <xdr:row>53</xdr:row>
      <xdr:rowOff>5522</xdr:rowOff>
    </xdr:from>
    <xdr:to>
      <xdr:col>8</xdr:col>
      <xdr:colOff>38651</xdr:colOff>
      <xdr:row>54</xdr:row>
      <xdr:rowOff>44175</xdr:rowOff>
    </xdr:to>
    <xdr:sp macro="" textlink="">
      <xdr:nvSpPr>
        <xdr:cNvPr id="72" name="TextBox 71"/>
        <xdr:cNvSpPr txBox="1"/>
      </xdr:nvSpPr>
      <xdr:spPr>
        <a:xfrm>
          <a:off x="5201478" y="10877826"/>
          <a:ext cx="474869" cy="22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$500</a:t>
          </a:r>
        </a:p>
      </xdr:txBody>
    </xdr:sp>
    <xdr:clientData/>
  </xdr:twoCellAnchor>
  <xdr:twoCellAnchor>
    <xdr:from>
      <xdr:col>4</xdr:col>
      <xdr:colOff>253998</xdr:colOff>
      <xdr:row>50</xdr:row>
      <xdr:rowOff>44172</xdr:rowOff>
    </xdr:from>
    <xdr:to>
      <xdr:col>4</xdr:col>
      <xdr:colOff>474868</xdr:colOff>
      <xdr:row>51</xdr:row>
      <xdr:rowOff>115956</xdr:rowOff>
    </xdr:to>
    <xdr:sp macro="" textlink="">
      <xdr:nvSpPr>
        <xdr:cNvPr id="73" name="TextBox 72"/>
        <xdr:cNvSpPr txBox="1"/>
      </xdr:nvSpPr>
      <xdr:spPr>
        <a:xfrm>
          <a:off x="2755346" y="10369824"/>
          <a:ext cx="220870" cy="254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3</a:t>
          </a:r>
        </a:p>
      </xdr:txBody>
    </xdr:sp>
    <xdr:clientData/>
  </xdr:twoCellAnchor>
  <xdr:twoCellAnchor>
    <xdr:from>
      <xdr:col>4</xdr:col>
      <xdr:colOff>938691</xdr:colOff>
      <xdr:row>50</xdr:row>
      <xdr:rowOff>11043</xdr:rowOff>
    </xdr:from>
    <xdr:to>
      <xdr:col>5</xdr:col>
      <xdr:colOff>314736</xdr:colOff>
      <xdr:row>51</xdr:row>
      <xdr:rowOff>55218</xdr:rowOff>
    </xdr:to>
    <xdr:sp macro="" textlink="">
      <xdr:nvSpPr>
        <xdr:cNvPr id="74" name="TextBox 73"/>
        <xdr:cNvSpPr txBox="1"/>
      </xdr:nvSpPr>
      <xdr:spPr>
        <a:xfrm>
          <a:off x="3440039" y="10336695"/>
          <a:ext cx="336827" cy="226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4</a:t>
          </a:r>
        </a:p>
      </xdr:txBody>
    </xdr:sp>
    <xdr:clientData/>
  </xdr:twoCellAnchor>
  <xdr:twoCellAnchor>
    <xdr:from>
      <xdr:col>5</xdr:col>
      <xdr:colOff>590826</xdr:colOff>
      <xdr:row>50</xdr:row>
      <xdr:rowOff>16564</xdr:rowOff>
    </xdr:from>
    <xdr:to>
      <xdr:col>6</xdr:col>
      <xdr:colOff>121477</xdr:colOff>
      <xdr:row>51</xdr:row>
      <xdr:rowOff>104913</xdr:rowOff>
    </xdr:to>
    <xdr:sp macro="" textlink="">
      <xdr:nvSpPr>
        <xdr:cNvPr id="75" name="TextBox 74"/>
        <xdr:cNvSpPr txBox="1"/>
      </xdr:nvSpPr>
      <xdr:spPr>
        <a:xfrm>
          <a:off x="4052956" y="10342216"/>
          <a:ext cx="242956" cy="270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a:t>
          </a:r>
        </a:p>
      </xdr:txBody>
    </xdr:sp>
    <xdr:clientData/>
  </xdr:twoCellAnchor>
  <xdr:twoCellAnchor>
    <xdr:from>
      <xdr:col>8</xdr:col>
      <xdr:colOff>165653</xdr:colOff>
      <xdr:row>53</xdr:row>
      <xdr:rowOff>5522</xdr:rowOff>
    </xdr:from>
    <xdr:to>
      <xdr:col>9</xdr:col>
      <xdr:colOff>110434</xdr:colOff>
      <xdr:row>54</xdr:row>
      <xdr:rowOff>44175</xdr:rowOff>
    </xdr:to>
    <xdr:sp macro="" textlink="">
      <xdr:nvSpPr>
        <xdr:cNvPr id="76" name="TextBox 75"/>
        <xdr:cNvSpPr txBox="1"/>
      </xdr:nvSpPr>
      <xdr:spPr>
        <a:xfrm>
          <a:off x="5803349" y="10877826"/>
          <a:ext cx="552172" cy="22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$1750</a:t>
          </a:r>
        </a:p>
      </xdr:txBody>
    </xdr:sp>
    <xdr:clientData/>
  </xdr:twoCellAnchor>
  <xdr:twoCellAnchor>
    <xdr:from>
      <xdr:col>6</xdr:col>
      <xdr:colOff>579782</xdr:colOff>
      <xdr:row>50</xdr:row>
      <xdr:rowOff>16565</xdr:rowOff>
    </xdr:from>
    <xdr:to>
      <xdr:col>7</xdr:col>
      <xdr:colOff>215347</xdr:colOff>
      <xdr:row>51</xdr:row>
      <xdr:rowOff>115957</xdr:rowOff>
    </xdr:to>
    <xdr:sp macro="" textlink="">
      <xdr:nvSpPr>
        <xdr:cNvPr id="77" name="TextBox 76"/>
        <xdr:cNvSpPr txBox="1"/>
      </xdr:nvSpPr>
      <xdr:spPr>
        <a:xfrm>
          <a:off x="4754217" y="10342217"/>
          <a:ext cx="242956" cy="2816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6</a:t>
          </a:r>
        </a:p>
      </xdr:txBody>
    </xdr:sp>
    <xdr:clientData/>
  </xdr:twoCellAnchor>
  <xdr:twoCellAnchor>
    <xdr:from>
      <xdr:col>7</xdr:col>
      <xdr:colOff>552173</xdr:colOff>
      <xdr:row>50</xdr:row>
      <xdr:rowOff>10214</xdr:rowOff>
    </xdr:from>
    <xdr:to>
      <xdr:col>7</xdr:col>
      <xdr:colOff>795129</xdr:colOff>
      <xdr:row>51</xdr:row>
      <xdr:rowOff>104912</xdr:rowOff>
    </xdr:to>
    <xdr:sp macro="" textlink="">
      <xdr:nvSpPr>
        <xdr:cNvPr id="78" name="TextBox 77"/>
        <xdr:cNvSpPr txBox="1"/>
      </xdr:nvSpPr>
      <xdr:spPr>
        <a:xfrm>
          <a:off x="5333999" y="10335866"/>
          <a:ext cx="242956" cy="2769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7</a:t>
          </a:r>
        </a:p>
      </xdr:txBody>
    </xdr:sp>
    <xdr:clientData/>
  </xdr:twoCellAnchor>
  <xdr:twoCellAnchor>
    <xdr:from>
      <xdr:col>8</xdr:col>
      <xdr:colOff>253998</xdr:colOff>
      <xdr:row>50</xdr:row>
      <xdr:rowOff>0</xdr:rowOff>
    </xdr:from>
    <xdr:to>
      <xdr:col>8</xdr:col>
      <xdr:colOff>496954</xdr:colOff>
      <xdr:row>51</xdr:row>
      <xdr:rowOff>88348</xdr:rowOff>
    </xdr:to>
    <xdr:sp macro="" textlink="">
      <xdr:nvSpPr>
        <xdr:cNvPr id="79" name="TextBox 78"/>
        <xdr:cNvSpPr txBox="1"/>
      </xdr:nvSpPr>
      <xdr:spPr>
        <a:xfrm>
          <a:off x="5891694" y="10325652"/>
          <a:ext cx="242956" cy="270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8</a:t>
          </a:r>
        </a:p>
      </xdr:txBody>
    </xdr:sp>
    <xdr:clientData/>
  </xdr:twoCellAnchor>
  <xdr:twoCellAnchor>
    <xdr:from>
      <xdr:col>2</xdr:col>
      <xdr:colOff>126998</xdr:colOff>
      <xdr:row>51</xdr:row>
      <xdr:rowOff>182216</xdr:rowOff>
    </xdr:from>
    <xdr:to>
      <xdr:col>8</xdr:col>
      <xdr:colOff>474868</xdr:colOff>
      <xdr:row>51</xdr:row>
      <xdr:rowOff>182216</xdr:rowOff>
    </xdr:to>
    <xdr:cxnSp macro="">
      <xdr:nvCxnSpPr>
        <xdr:cNvPr id="80" name="Straight Connector 79"/>
        <xdr:cNvCxnSpPr/>
      </xdr:nvCxnSpPr>
      <xdr:spPr>
        <a:xfrm>
          <a:off x="634998" y="10690086"/>
          <a:ext cx="5477566" cy="0"/>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104119</xdr:colOff>
      <xdr:row>51</xdr:row>
      <xdr:rowOff>83617</xdr:rowOff>
    </xdr:from>
    <xdr:to>
      <xdr:col>2</xdr:col>
      <xdr:colOff>105707</xdr:colOff>
      <xdr:row>52</xdr:row>
      <xdr:rowOff>116749</xdr:rowOff>
    </xdr:to>
    <xdr:cxnSp macro="">
      <xdr:nvCxnSpPr>
        <xdr:cNvPr id="81" name="Straight Connector 80"/>
        <xdr:cNvCxnSpPr/>
      </xdr:nvCxnSpPr>
      <xdr:spPr>
        <a:xfrm rot="5400000">
          <a:off x="505238" y="10698368"/>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607389</xdr:colOff>
      <xdr:row>50</xdr:row>
      <xdr:rowOff>38651</xdr:rowOff>
    </xdr:from>
    <xdr:to>
      <xdr:col>3</xdr:col>
      <xdr:colOff>49693</xdr:colOff>
      <xdr:row>51</xdr:row>
      <xdr:rowOff>77304</xdr:rowOff>
    </xdr:to>
    <xdr:sp macro="" textlink="">
      <xdr:nvSpPr>
        <xdr:cNvPr id="82" name="TextBox 81"/>
        <xdr:cNvSpPr txBox="1"/>
      </xdr:nvSpPr>
      <xdr:spPr>
        <a:xfrm>
          <a:off x="1115389" y="10364303"/>
          <a:ext cx="320261" cy="22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a:t>
          </a:r>
        </a:p>
      </xdr:txBody>
    </xdr:sp>
    <xdr:clientData/>
  </xdr:twoCellAnchor>
  <xdr:twoCellAnchor>
    <xdr:from>
      <xdr:col>3</xdr:col>
      <xdr:colOff>474867</xdr:colOff>
      <xdr:row>50</xdr:row>
      <xdr:rowOff>38650</xdr:rowOff>
    </xdr:from>
    <xdr:to>
      <xdr:col>3</xdr:col>
      <xdr:colOff>701258</xdr:colOff>
      <xdr:row>51</xdr:row>
      <xdr:rowOff>82825</xdr:rowOff>
    </xdr:to>
    <xdr:sp macro="" textlink="">
      <xdr:nvSpPr>
        <xdr:cNvPr id="83" name="TextBox 82"/>
        <xdr:cNvSpPr txBox="1"/>
      </xdr:nvSpPr>
      <xdr:spPr>
        <a:xfrm>
          <a:off x="1860824" y="10364302"/>
          <a:ext cx="226391" cy="226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2</a:t>
          </a:r>
        </a:p>
      </xdr:txBody>
    </xdr:sp>
    <xdr:clientData/>
  </xdr:twoCellAnchor>
  <xdr:twoCellAnchor>
    <xdr:from>
      <xdr:col>2</xdr:col>
      <xdr:colOff>0</xdr:colOff>
      <xdr:row>50</xdr:row>
      <xdr:rowOff>11043</xdr:rowOff>
    </xdr:from>
    <xdr:to>
      <xdr:col>2</xdr:col>
      <xdr:colOff>231912</xdr:colOff>
      <xdr:row>51</xdr:row>
      <xdr:rowOff>77304</xdr:rowOff>
    </xdr:to>
    <xdr:sp macro="" textlink="">
      <xdr:nvSpPr>
        <xdr:cNvPr id="84" name="TextBox 83"/>
        <xdr:cNvSpPr txBox="1"/>
      </xdr:nvSpPr>
      <xdr:spPr>
        <a:xfrm>
          <a:off x="508000" y="10336695"/>
          <a:ext cx="231912" cy="248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xdr:cNvSpPr txBox="1"/>
      </xdr:nvSpPr>
      <xdr:spPr>
        <a:xfrm>
          <a:off x="228599" y="180974"/>
          <a:ext cx="6458227" cy="381676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You</a:t>
          </a:r>
          <a:r>
            <a:rPr lang="en-US" sz="1100" b="1" baseline="0">
              <a:solidFill>
                <a:schemeClr val="dk1"/>
              </a:solidFill>
              <a:latin typeface="+mn-lt"/>
              <a:ea typeface="+mn-ea"/>
              <a:cs typeface="+mn-cs"/>
            </a:rPr>
            <a:t> need forecast the 2011 pro forma income statement and balance sheet for the firm whose 2009 and 2010 income statements and balance sheets are given here. </a:t>
          </a:r>
          <a:r>
            <a:rPr lang="en-US" sz="1100" b="1">
              <a:solidFill>
                <a:schemeClr val="dk1"/>
              </a:solidFill>
              <a:latin typeface="+mn-lt"/>
              <a:ea typeface="+mn-ea"/>
              <a:cs typeface="+mn-cs"/>
            </a:rPr>
            <a:t>Inputs are provided for most items</a:t>
          </a:r>
          <a:r>
            <a:rPr lang="en-US" sz="1100" b="1" baseline="0">
              <a:solidFill>
                <a:schemeClr val="dk1"/>
              </a:solidFill>
              <a:latin typeface="+mn-lt"/>
              <a:ea typeface="+mn-ea"/>
              <a:cs typeface="+mn-cs"/>
            </a:rPr>
            <a:t> in the Inputs section below.</a:t>
          </a:r>
          <a:r>
            <a:rPr lang="en-US" sz="1100" b="1">
              <a:solidFill>
                <a:schemeClr val="dk1"/>
              </a:solidFill>
              <a:latin typeface="+mn-lt"/>
              <a:ea typeface="+mn-ea"/>
              <a:cs typeface="+mn-cs"/>
            </a:rPr>
            <a:t> </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cost of goods sold in 2011 is expected to change with sales by 120% of the two-year arithmetic average of the proportion of this item in relation to sales</a:t>
          </a:r>
          <a:r>
            <a:rPr lang="en-US" sz="1100" b="1" baseline="0">
              <a:solidFill>
                <a:schemeClr val="dk1"/>
              </a:solidFill>
              <a:latin typeface="+mn-lt"/>
              <a:ea typeface="+mn-ea"/>
              <a:cs typeface="+mn-cs"/>
            </a:rPr>
            <a:t> for 2009 and 2010.  </a:t>
          </a:r>
          <a:r>
            <a:rPr lang="en-US" sz="1100" b="1">
              <a:solidFill>
                <a:schemeClr val="dk1"/>
              </a:solidFill>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latin typeface="+mn-lt"/>
              <a:ea typeface="+mn-ea"/>
              <a:cs typeface="+mn-cs"/>
            </a:rPr>
            <a:t> for 2009 and 2010</a:t>
          </a:r>
          <a:r>
            <a:rPr lang="en-US" sz="1100" b="1">
              <a:solidFill>
                <a:schemeClr val="dk1"/>
              </a:solidFill>
              <a:latin typeface="+mn-lt"/>
              <a:ea typeface="+mn-ea"/>
              <a:cs typeface="+mn-cs"/>
            </a:rPr>
            <a:t>.  The firm has planned an investment of $80,000 in new equipment </a:t>
          </a:r>
          <a:r>
            <a:rPr lang="en-US" sz="1100" b="1" baseline="0">
              <a:solidFill>
                <a:schemeClr val="dk1"/>
              </a:solidFill>
              <a:latin typeface="+mn-lt"/>
              <a:ea typeface="+mn-ea"/>
              <a:cs typeface="+mn-cs"/>
            </a:rPr>
            <a:t>in 2011.  This equipment will be depreciated at $8,000 per year. Depreciation on existing Plant/Equipment will be the same as it was in 2010. </a:t>
          </a:r>
          <a:r>
            <a:rPr lang="en-US" sz="1100" b="1">
              <a:solidFill>
                <a:schemeClr val="dk1"/>
              </a:solidFill>
              <a:latin typeface="+mn-lt"/>
              <a:ea typeface="+mn-ea"/>
              <a:cs typeface="+mn-cs"/>
            </a:rPr>
            <a:t>Interest expense</a:t>
          </a:r>
          <a:r>
            <a:rPr lang="en-US" sz="1100" b="1" baseline="0">
              <a:solidFill>
                <a:schemeClr val="dk1"/>
              </a:solidFill>
              <a:latin typeface="+mn-lt"/>
              <a:ea typeface="+mn-ea"/>
              <a:cs typeface="+mn-cs"/>
            </a:rPr>
            <a:t> for 2011 is computed on the 2010 ending balances in Short Term Notes Payable and Long Term Debt. Inputs for those interest rates are provided in the Inputs section.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Complete the </a:t>
          </a:r>
          <a:r>
            <a:rPr lang="en-US" sz="1100" b="1" baseline="0">
              <a:solidFill>
                <a:schemeClr val="dk1"/>
              </a:solidFill>
              <a:latin typeface="+mn-lt"/>
              <a:ea typeface="+mn-ea"/>
              <a:cs typeface="+mn-cs"/>
            </a:rPr>
            <a:t> pro-forma income statement and balance sheet for 2011 using the information above, the inputs below, and the values that are given in the statements. The 2011 projected statements should accurately adjust for any changes in the inputs.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Compute the excess or deficit of financing for 2011 in the yellow box at the bottom of the Balance Sheet.  This number should be positive if the firm will have more financing than is needed, and it should be negative if the firm has less financing than is needed.</a:t>
          </a: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2"/>
  <sheetViews>
    <sheetView workbookViewId="0">
      <selection activeCell="I16" sqref="I16"/>
    </sheetView>
  </sheetViews>
  <sheetFormatPr defaultRowHeight="14.5" x14ac:dyDescent="0.35"/>
  <cols>
    <col min="1" max="1" width="2.81640625" customWidth="1"/>
  </cols>
  <sheetData>
    <row r="2" spans="2:3" ht="18.5" x14ac:dyDescent="0.45">
      <c r="B2" s="107" t="s">
        <v>56</v>
      </c>
      <c r="C2" s="106"/>
    </row>
    <row r="3" spans="2:3" ht="18.5" x14ac:dyDescent="0.45">
      <c r="B3" s="107" t="s">
        <v>79</v>
      </c>
      <c r="C3" s="106"/>
    </row>
    <row r="4" spans="2:3" ht="18.5" x14ac:dyDescent="0.45">
      <c r="B4" s="107" t="s">
        <v>65</v>
      </c>
      <c r="C4" s="106"/>
    </row>
    <row r="5" spans="2:3" ht="6" customHeight="1" x14ac:dyDescent="0.45">
      <c r="B5" s="107"/>
      <c r="C5" s="106"/>
    </row>
    <row r="6" spans="2:3" ht="18.5" x14ac:dyDescent="0.45">
      <c r="B6" s="107" t="s">
        <v>57</v>
      </c>
      <c r="C6" s="106"/>
    </row>
    <row r="7" spans="2:3" ht="18.5" x14ac:dyDescent="0.45">
      <c r="B7" s="107" t="s">
        <v>58</v>
      </c>
      <c r="C7" s="106"/>
    </row>
    <row r="8" spans="2:3" ht="18.5" x14ac:dyDescent="0.45">
      <c r="B8" s="107" t="s">
        <v>59</v>
      </c>
      <c r="C8" s="106"/>
    </row>
    <row r="9" spans="2:3" ht="8.5" customHeight="1" x14ac:dyDescent="0.45">
      <c r="B9" s="107"/>
      <c r="C9" s="106"/>
    </row>
    <row r="10" spans="2:3" ht="16.5" customHeight="1" x14ac:dyDescent="0.45">
      <c r="B10" s="107" t="s">
        <v>119</v>
      </c>
      <c r="C10" s="106"/>
    </row>
    <row r="11" spans="2:3" ht="16.5" customHeight="1" x14ac:dyDescent="0.45">
      <c r="B11" s="107" t="s">
        <v>120</v>
      </c>
      <c r="C11" s="106"/>
    </row>
    <row r="12" spans="2:3" ht="16.5" customHeight="1" x14ac:dyDescent="0.45">
      <c r="B12" s="107" t="s">
        <v>162</v>
      </c>
      <c r="C12" s="106"/>
    </row>
    <row r="13" spans="2:3" ht="4.5" customHeight="1" x14ac:dyDescent="0.45">
      <c r="B13" s="107"/>
      <c r="C13" s="106"/>
    </row>
    <row r="14" spans="2:3" ht="15" customHeight="1" x14ac:dyDescent="0.45">
      <c r="B14" s="107" t="s">
        <v>60</v>
      </c>
      <c r="C14" s="106"/>
    </row>
    <row r="15" spans="2:3" ht="16.5" customHeight="1" x14ac:dyDescent="0.45">
      <c r="B15" s="107"/>
      <c r="C15" s="106"/>
    </row>
    <row r="16" spans="2:3" ht="17.5" customHeight="1" x14ac:dyDescent="0.35">
      <c r="B16" s="106" t="s">
        <v>163</v>
      </c>
      <c r="C16" s="106"/>
    </row>
    <row r="17" spans="2:3" ht="18.5" x14ac:dyDescent="0.45">
      <c r="B17" s="107"/>
      <c r="C17" s="106"/>
    </row>
    <row r="18" spans="2:3" ht="8.15" customHeight="1" x14ac:dyDescent="0.35">
      <c r="B18" s="106" t="s">
        <v>61</v>
      </c>
      <c r="C18" s="106"/>
    </row>
    <row r="19" spans="2:3" x14ac:dyDescent="0.35">
      <c r="B19" s="106" t="s">
        <v>164</v>
      </c>
      <c r="C19" s="106"/>
    </row>
    <row r="20" spans="2:3" x14ac:dyDescent="0.35">
      <c r="B20" s="106" t="s">
        <v>165</v>
      </c>
      <c r="C20" s="106"/>
    </row>
    <row r="21" spans="2:3" x14ac:dyDescent="0.35">
      <c r="B21" s="106"/>
      <c r="C21" s="106"/>
    </row>
    <row r="22" spans="2:3" ht="17.5" customHeight="1" x14ac:dyDescent="0.35">
      <c r="B22" s="108" t="s">
        <v>121</v>
      </c>
      <c r="C22" s="106"/>
    </row>
    <row r="23" spans="2:3" ht="17.5" customHeight="1" x14ac:dyDescent="0.35">
      <c r="B23" s="108" t="s">
        <v>122</v>
      </c>
      <c r="C23" s="106"/>
    </row>
    <row r="24" spans="2:3" ht="17.5" customHeight="1" x14ac:dyDescent="0.35">
      <c r="B24" s="106"/>
      <c r="C24" s="106"/>
    </row>
    <row r="25" spans="2:3" ht="14.5" customHeight="1" x14ac:dyDescent="0.35">
      <c r="B25" s="106" t="s">
        <v>80</v>
      </c>
      <c r="C25" s="106"/>
    </row>
    <row r="26" spans="2:3" x14ac:dyDescent="0.35">
      <c r="B26" s="106"/>
      <c r="C26" s="106"/>
    </row>
    <row r="27" spans="2:3" ht="19.5" customHeight="1" x14ac:dyDescent="0.35">
      <c r="B27" s="106"/>
      <c r="C27" s="106" t="s">
        <v>81</v>
      </c>
    </row>
    <row r="28" spans="2:3" x14ac:dyDescent="0.35">
      <c r="B28" s="106"/>
      <c r="C28" s="106" t="s">
        <v>123</v>
      </c>
    </row>
    <row r="29" spans="2:3" x14ac:dyDescent="0.35">
      <c r="B29" s="106"/>
      <c r="C29" s="106" t="s">
        <v>166</v>
      </c>
    </row>
    <row r="30" spans="2:3" x14ac:dyDescent="0.35">
      <c r="B30" s="106"/>
      <c r="C30" s="106"/>
    </row>
    <row r="31" spans="2:3" x14ac:dyDescent="0.35">
      <c r="B31" s="106"/>
      <c r="C31" s="106"/>
    </row>
    <row r="32" spans="2:3" x14ac:dyDescent="0.35">
      <c r="C32" t="s">
        <v>124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tabSelected="1" topLeftCell="A13" zoomScale="115" zoomScaleNormal="115" workbookViewId="0">
      <selection activeCell="K29" sqref="K29"/>
    </sheetView>
  </sheetViews>
  <sheetFormatPr defaultRowHeight="14.5" x14ac:dyDescent="0.35"/>
  <cols>
    <col min="1" max="2" width="2.81640625" customWidth="1"/>
    <col min="3" max="6" width="14.7265625" customWidth="1"/>
    <col min="7" max="7" width="16.26953125" customWidth="1"/>
    <col min="8" max="8" width="13.1796875" customWidth="1"/>
    <col min="9" max="9" width="8.81640625" customWidth="1"/>
  </cols>
  <sheetData>
    <row r="5" spans="23:23" ht="75" customHeight="1" x14ac:dyDescent="0.35"/>
    <row r="12" spans="23:23" x14ac:dyDescent="0.35">
      <c r="W12">
        <v>1</v>
      </c>
    </row>
    <row r="18" spans="3:19" x14ac:dyDescent="0.35">
      <c r="C18" s="43"/>
    </row>
    <row r="19" spans="3:19" x14ac:dyDescent="0.35">
      <c r="C19" s="43"/>
    </row>
    <row r="20" spans="3:19" x14ac:dyDescent="0.35">
      <c r="C20" s="16" t="s">
        <v>67</v>
      </c>
    </row>
    <row r="21" spans="3:19" ht="15" thickBot="1" x14ac:dyDescent="0.4">
      <c r="C21" s="6" t="s">
        <v>8</v>
      </c>
      <c r="F21" s="2">
        <v>125000</v>
      </c>
      <c r="G21" t="s">
        <v>95</v>
      </c>
      <c r="N21" t="s">
        <v>86</v>
      </c>
      <c r="O21">
        <f>IF(F25="Annual",1,IF(F25="Quarterly",4,12))</f>
        <v>12</v>
      </c>
      <c r="P21">
        <v>1</v>
      </c>
    </row>
    <row r="22" spans="3:19" ht="15" thickBot="1" x14ac:dyDescent="0.4">
      <c r="C22" s="43" t="s">
        <v>89</v>
      </c>
      <c r="F22" s="52">
        <v>4</v>
      </c>
      <c r="G22" t="s">
        <v>98</v>
      </c>
      <c r="H22" s="5">
        <f>D31*Term*Periods+F24-F21</f>
        <v>28448.203394884215</v>
      </c>
      <c r="N22" t="s">
        <v>87</v>
      </c>
      <c r="P22">
        <v>2</v>
      </c>
    </row>
    <row r="23" spans="3:19" x14ac:dyDescent="0.35">
      <c r="C23" s="6" t="s">
        <v>9</v>
      </c>
      <c r="F23" s="3">
        <v>0.09</v>
      </c>
      <c r="N23" t="s">
        <v>88</v>
      </c>
      <c r="P23">
        <v>3</v>
      </c>
    </row>
    <row r="24" spans="3:19" ht="15" thickBot="1" x14ac:dyDescent="0.4">
      <c r="C24" s="6" t="s">
        <v>10</v>
      </c>
      <c r="F24" s="2">
        <v>25000</v>
      </c>
      <c r="G24" t="s">
        <v>96</v>
      </c>
      <c r="P24">
        <v>4</v>
      </c>
    </row>
    <row r="25" spans="3:19" ht="15" thickBot="1" x14ac:dyDescent="0.4">
      <c r="C25" s="43" t="s">
        <v>66</v>
      </c>
      <c r="F25" t="s">
        <v>88</v>
      </c>
      <c r="G25" t="s">
        <v>97</v>
      </c>
      <c r="H25" s="58">
        <f>EFFECT(Rate,Periods)</f>
        <v>9.3806897670984268E-2</v>
      </c>
      <c r="P25">
        <v>5</v>
      </c>
    </row>
    <row r="26" spans="3:19" ht="4" customHeight="1" thickBot="1" x14ac:dyDescent="0.4">
      <c r="C26" s="44"/>
      <c r="D26" s="8"/>
      <c r="E26" s="8"/>
      <c r="F26" s="8"/>
      <c r="G26" s="8"/>
      <c r="H26" s="8"/>
      <c r="I26" s="8"/>
      <c r="J26" s="8"/>
      <c r="K26" s="8"/>
      <c r="L26" s="8"/>
      <c r="M26" s="8"/>
      <c r="N26" s="15"/>
      <c r="O26" s="15"/>
      <c r="P26" s="15"/>
      <c r="Q26" s="15"/>
      <c r="R26" s="15"/>
      <c r="S26" s="15"/>
    </row>
    <row r="27" spans="3:19" ht="6" customHeight="1" x14ac:dyDescent="0.35"/>
    <row r="28" spans="3:19" ht="6" customHeight="1" thickBot="1" x14ac:dyDescent="0.4"/>
    <row r="29" spans="3:19" ht="29.5" thickBot="1" x14ac:dyDescent="0.4">
      <c r="C29" s="9" t="s">
        <v>11</v>
      </c>
      <c r="D29" s="10" t="s">
        <v>4</v>
      </c>
      <c r="E29" s="10" t="s">
        <v>12</v>
      </c>
      <c r="F29" s="10" t="s">
        <v>13</v>
      </c>
      <c r="G29" s="11" t="s">
        <v>14</v>
      </c>
    </row>
    <row r="30" spans="3:19" x14ac:dyDescent="0.35">
      <c r="C30" s="12">
        <v>0</v>
      </c>
      <c r="D30" s="13"/>
      <c r="E30" s="13"/>
      <c r="F30" s="13"/>
      <c r="G30" s="53">
        <f>F21</f>
        <v>125000</v>
      </c>
    </row>
    <row r="31" spans="3:19" x14ac:dyDescent="0.35">
      <c r="C31" s="12">
        <v>1</v>
      </c>
      <c r="D31" s="14">
        <f>PMT(Rate/Periods,Term*Periods,-F21,F24)</f>
        <v>2676.0042373934211</v>
      </c>
      <c r="E31" s="13">
        <f t="shared" ref="E31:E62" si="0">IF(C31&gt;Term*Periods,"",G30*Rate/Periods)</f>
        <v>937.5</v>
      </c>
      <c r="F31" s="14">
        <f t="shared" ref="F31:F62" si="1">IF(C31&gt;Term*Periods,"",D31-E31)</f>
        <v>1738.5042373934211</v>
      </c>
      <c r="G31" s="13">
        <f t="shared" ref="G31:G62" si="2">IF(C31&gt;Term*Periods,"",G30-F31)</f>
        <v>123261.49576260657</v>
      </c>
      <c r="K31" t="s">
        <v>15</v>
      </c>
    </row>
    <row r="32" spans="3:19" x14ac:dyDescent="0.35">
      <c r="C32" s="12">
        <v>2</v>
      </c>
      <c r="D32" s="14">
        <f t="shared" ref="D32:D63" si="3">IF(C32&gt;Term*Periods,"",IF(C32=Term*Periods,$D$31+$F$24,$D$31))</f>
        <v>2676.0042373934211</v>
      </c>
      <c r="E32" s="13">
        <f t="shared" si="0"/>
        <v>924.46121821954921</v>
      </c>
      <c r="F32" s="14">
        <f t="shared" si="1"/>
        <v>1751.5430191738719</v>
      </c>
      <c r="G32" s="13">
        <f t="shared" si="2"/>
        <v>121509.9527434327</v>
      </c>
    </row>
    <row r="33" spans="3:7" x14ac:dyDescent="0.35">
      <c r="C33" s="12">
        <v>3</v>
      </c>
      <c r="D33" s="14">
        <f t="shared" si="3"/>
        <v>2676.0042373934211</v>
      </c>
      <c r="E33" s="13">
        <f t="shared" si="0"/>
        <v>911.32464557574531</v>
      </c>
      <c r="F33" s="14">
        <f t="shared" si="1"/>
        <v>1764.6795918176758</v>
      </c>
      <c r="G33" s="13">
        <f t="shared" si="2"/>
        <v>119745.27315161502</v>
      </c>
    </row>
    <row r="34" spans="3:7" x14ac:dyDescent="0.35">
      <c r="C34" s="12">
        <v>4</v>
      </c>
      <c r="D34" s="14">
        <f t="shared" si="3"/>
        <v>2676.0042373934211</v>
      </c>
      <c r="E34" s="13">
        <f t="shared" si="0"/>
        <v>898.08954863711267</v>
      </c>
      <c r="F34" s="14">
        <f t="shared" si="1"/>
        <v>1777.9146887563084</v>
      </c>
      <c r="G34" s="13">
        <f t="shared" si="2"/>
        <v>117967.35846285871</v>
      </c>
    </row>
    <row r="35" spans="3:7" x14ac:dyDescent="0.35">
      <c r="C35" s="12">
        <v>5</v>
      </c>
      <c r="D35" s="14">
        <f t="shared" si="3"/>
        <v>2676.0042373934211</v>
      </c>
      <c r="E35" s="13">
        <f t="shared" si="0"/>
        <v>884.75518847144031</v>
      </c>
      <c r="F35" s="14">
        <f t="shared" si="1"/>
        <v>1791.2490489219808</v>
      </c>
      <c r="G35" s="13">
        <f t="shared" si="2"/>
        <v>116176.10941393673</v>
      </c>
    </row>
    <row r="36" spans="3:7" x14ac:dyDescent="0.35">
      <c r="C36" s="12">
        <v>6</v>
      </c>
      <c r="D36" s="14">
        <f t="shared" si="3"/>
        <v>2676.0042373934211</v>
      </c>
      <c r="E36" s="13">
        <f t="shared" si="0"/>
        <v>871.32082060452547</v>
      </c>
      <c r="F36" s="14">
        <f t="shared" si="1"/>
        <v>1804.6834167888956</v>
      </c>
      <c r="G36" s="13">
        <f t="shared" si="2"/>
        <v>114371.42599714783</v>
      </c>
    </row>
    <row r="37" spans="3:7" x14ac:dyDescent="0.35">
      <c r="C37" s="12">
        <v>7</v>
      </c>
      <c r="D37" s="14">
        <f t="shared" si="3"/>
        <v>2676.0042373934211</v>
      </c>
      <c r="E37" s="13">
        <f t="shared" si="0"/>
        <v>857.78569497860872</v>
      </c>
      <c r="F37" s="14">
        <f t="shared" si="1"/>
        <v>1818.2185424148124</v>
      </c>
      <c r="G37" s="13">
        <f t="shared" si="2"/>
        <v>112553.20745473301</v>
      </c>
    </row>
    <row r="38" spans="3:7" x14ac:dyDescent="0.35">
      <c r="C38" s="12">
        <v>8</v>
      </c>
      <c r="D38" s="14">
        <f t="shared" si="3"/>
        <v>2676.0042373934211</v>
      </c>
      <c r="E38" s="13">
        <f t="shared" si="0"/>
        <v>844.14905591049762</v>
      </c>
      <c r="F38" s="14">
        <f t="shared" si="1"/>
        <v>1831.8551814829234</v>
      </c>
      <c r="G38" s="13">
        <f t="shared" si="2"/>
        <v>110721.35227325009</v>
      </c>
    </row>
    <row r="39" spans="3:7" x14ac:dyDescent="0.35">
      <c r="C39" s="12">
        <v>9</v>
      </c>
      <c r="D39" s="14">
        <f t="shared" si="3"/>
        <v>2676.0042373934211</v>
      </c>
      <c r="E39" s="13">
        <f t="shared" si="0"/>
        <v>830.41014204937562</v>
      </c>
      <c r="F39" s="14">
        <f t="shared" si="1"/>
        <v>1845.5940953440454</v>
      </c>
      <c r="G39" s="13">
        <f t="shared" si="2"/>
        <v>108875.75817790604</v>
      </c>
    </row>
    <row r="40" spans="3:7" x14ac:dyDescent="0.35">
      <c r="C40" s="12">
        <v>10</v>
      </c>
      <c r="D40" s="14">
        <f t="shared" si="3"/>
        <v>2676.0042373934211</v>
      </c>
      <c r="E40" s="13">
        <f t="shared" si="0"/>
        <v>816.56818633429532</v>
      </c>
      <c r="F40" s="14">
        <f t="shared" si="1"/>
        <v>1859.4360510591259</v>
      </c>
      <c r="G40" s="13">
        <f t="shared" si="2"/>
        <v>107016.32212684692</v>
      </c>
    </row>
    <row r="41" spans="3:7" x14ac:dyDescent="0.35">
      <c r="C41" s="12">
        <v>11</v>
      </c>
      <c r="D41" s="14">
        <f t="shared" si="3"/>
        <v>2676.0042373934211</v>
      </c>
      <c r="E41" s="13">
        <f t="shared" si="0"/>
        <v>802.62241595135185</v>
      </c>
      <c r="F41" s="14">
        <f t="shared" si="1"/>
        <v>1873.3818214420694</v>
      </c>
      <c r="G41" s="13">
        <f t="shared" si="2"/>
        <v>105142.94030540485</v>
      </c>
    </row>
    <row r="42" spans="3:7" x14ac:dyDescent="0.35">
      <c r="C42" s="12">
        <v>12</v>
      </c>
      <c r="D42" s="14">
        <f t="shared" si="3"/>
        <v>2676.0042373934211</v>
      </c>
      <c r="E42" s="13">
        <f t="shared" si="0"/>
        <v>788.57205229053625</v>
      </c>
      <c r="F42" s="14">
        <f t="shared" si="1"/>
        <v>1887.4321851028849</v>
      </c>
      <c r="G42" s="13">
        <f t="shared" si="2"/>
        <v>103255.50812030197</v>
      </c>
    </row>
    <row r="43" spans="3:7" x14ac:dyDescent="0.35">
      <c r="C43" s="12">
        <v>13</v>
      </c>
      <c r="D43" s="14">
        <f t="shared" si="3"/>
        <v>2676.0042373934211</v>
      </c>
      <c r="E43" s="13">
        <f t="shared" si="0"/>
        <v>774.41631090226474</v>
      </c>
      <c r="F43" s="14">
        <f t="shared" si="1"/>
        <v>1901.5879264911564</v>
      </c>
      <c r="G43" s="13">
        <f t="shared" si="2"/>
        <v>101353.9201938108</v>
      </c>
    </row>
    <row r="44" spans="3:7" x14ac:dyDescent="0.35">
      <c r="C44" s="12">
        <v>14</v>
      </c>
      <c r="D44" s="14">
        <f t="shared" si="3"/>
        <v>2676.0042373934211</v>
      </c>
      <c r="E44" s="13">
        <f t="shared" si="0"/>
        <v>760.15440145358104</v>
      </c>
      <c r="F44" s="14">
        <f t="shared" si="1"/>
        <v>1915.84983593984</v>
      </c>
      <c r="G44" s="13">
        <f t="shared" si="2"/>
        <v>99438.070357870965</v>
      </c>
    </row>
    <row r="45" spans="3:7" x14ac:dyDescent="0.35">
      <c r="C45" s="12">
        <v>15</v>
      </c>
      <c r="D45" s="14">
        <f t="shared" si="3"/>
        <v>2676.0042373934211</v>
      </c>
      <c r="E45" s="13">
        <f t="shared" si="0"/>
        <v>745.78552768403222</v>
      </c>
      <c r="F45" s="14">
        <f t="shared" si="1"/>
        <v>1930.2187097093888</v>
      </c>
      <c r="G45" s="13">
        <f t="shared" si="2"/>
        <v>97507.851648161581</v>
      </c>
    </row>
    <row r="46" spans="3:7" x14ac:dyDescent="0.35">
      <c r="C46" s="12">
        <v>16</v>
      </c>
      <c r="D46" s="14">
        <f t="shared" si="3"/>
        <v>2676.0042373934211</v>
      </c>
      <c r="E46" s="13">
        <f t="shared" si="0"/>
        <v>731.30888736121187</v>
      </c>
      <c r="F46" s="14">
        <f t="shared" si="1"/>
        <v>1944.6953500322093</v>
      </c>
      <c r="G46" s="13">
        <f t="shared" si="2"/>
        <v>95563.156298129368</v>
      </c>
    </row>
    <row r="47" spans="3:7" x14ac:dyDescent="0.35">
      <c r="C47" s="12">
        <v>17</v>
      </c>
      <c r="D47" s="14">
        <f t="shared" si="3"/>
        <v>2676.0042373934211</v>
      </c>
      <c r="E47" s="13">
        <f t="shared" si="0"/>
        <v>716.7236722359703</v>
      </c>
      <c r="F47" s="14">
        <f t="shared" si="1"/>
        <v>1959.2805651574508</v>
      </c>
      <c r="G47" s="13">
        <f t="shared" si="2"/>
        <v>93603.875732971923</v>
      </c>
    </row>
    <row r="48" spans="3:7" x14ac:dyDescent="0.35">
      <c r="C48" s="12">
        <v>18</v>
      </c>
      <c r="D48" s="14">
        <f t="shared" si="3"/>
        <v>2676.0042373934211</v>
      </c>
      <c r="E48" s="13">
        <f t="shared" si="0"/>
        <v>702.02906799728942</v>
      </c>
      <c r="F48" s="14">
        <f t="shared" si="1"/>
        <v>1973.9751693961316</v>
      </c>
      <c r="G48" s="13">
        <f t="shared" si="2"/>
        <v>91629.900563575793</v>
      </c>
    </row>
    <row r="49" spans="3:7" x14ac:dyDescent="0.35">
      <c r="C49" s="12">
        <v>19</v>
      </c>
      <c r="D49" s="14">
        <f t="shared" si="3"/>
        <v>2676.0042373934211</v>
      </c>
      <c r="E49" s="13">
        <f t="shared" si="0"/>
        <v>687.22425422681852</v>
      </c>
      <c r="F49" s="14">
        <f t="shared" si="1"/>
        <v>1988.7799831666025</v>
      </c>
      <c r="G49" s="13">
        <f t="shared" si="2"/>
        <v>89641.120580409188</v>
      </c>
    </row>
    <row r="50" spans="3:7" x14ac:dyDescent="0.35">
      <c r="C50" s="12">
        <v>20</v>
      </c>
      <c r="D50" s="14">
        <f t="shared" si="3"/>
        <v>2676.0042373934211</v>
      </c>
      <c r="E50" s="13">
        <f t="shared" si="0"/>
        <v>672.30840435306891</v>
      </c>
      <c r="F50" s="14">
        <f t="shared" si="1"/>
        <v>2003.6958330403522</v>
      </c>
      <c r="G50" s="13">
        <f t="shared" si="2"/>
        <v>87637.42474736883</v>
      </c>
    </row>
    <row r="51" spans="3:7" x14ac:dyDescent="0.35">
      <c r="C51" s="12">
        <v>21</v>
      </c>
      <c r="D51" s="14">
        <f t="shared" si="3"/>
        <v>2676.0042373934211</v>
      </c>
      <c r="E51" s="13">
        <f t="shared" si="0"/>
        <v>657.28068560526617</v>
      </c>
      <c r="F51" s="14">
        <f t="shared" si="1"/>
        <v>2018.723551788155</v>
      </c>
      <c r="G51" s="13">
        <f t="shared" si="2"/>
        <v>85618.701195580681</v>
      </c>
    </row>
    <row r="52" spans="3:7" x14ac:dyDescent="0.35">
      <c r="C52" s="12">
        <v>22</v>
      </c>
      <c r="D52" s="14">
        <f t="shared" si="3"/>
        <v>2676.0042373934211</v>
      </c>
      <c r="E52" s="13">
        <f t="shared" si="0"/>
        <v>642.14025896685507</v>
      </c>
      <c r="F52" s="14">
        <f t="shared" si="1"/>
        <v>2033.8639784265661</v>
      </c>
      <c r="G52" s="13">
        <f t="shared" si="2"/>
        <v>83584.837217154112</v>
      </c>
    </row>
    <row r="53" spans="3:7" x14ac:dyDescent="0.35">
      <c r="C53" s="12">
        <v>23</v>
      </c>
      <c r="D53" s="14">
        <f t="shared" si="3"/>
        <v>2676.0042373934211</v>
      </c>
      <c r="E53" s="13">
        <f t="shared" si="0"/>
        <v>626.88627912865581</v>
      </c>
      <c r="F53" s="14">
        <f t="shared" si="1"/>
        <v>2049.1179582647655</v>
      </c>
      <c r="G53" s="13">
        <f t="shared" si="2"/>
        <v>81535.719258889352</v>
      </c>
    </row>
    <row r="54" spans="3:7" x14ac:dyDescent="0.35">
      <c r="C54" s="12">
        <v>24</v>
      </c>
      <c r="D54" s="14">
        <f t="shared" si="3"/>
        <v>2676.0042373934211</v>
      </c>
      <c r="E54" s="13">
        <f t="shared" si="0"/>
        <v>611.51789444167014</v>
      </c>
      <c r="F54" s="14">
        <f t="shared" si="1"/>
        <v>2064.4863429517509</v>
      </c>
      <c r="G54" s="13">
        <f t="shared" si="2"/>
        <v>79471.232915937595</v>
      </c>
    </row>
    <row r="55" spans="3:7" x14ac:dyDescent="0.35">
      <c r="C55" s="12">
        <v>25</v>
      </c>
      <c r="D55" s="14">
        <f t="shared" si="3"/>
        <v>2676.0042373934211</v>
      </c>
      <c r="E55" s="13">
        <f t="shared" si="0"/>
        <v>596.03424686953201</v>
      </c>
      <c r="F55" s="14">
        <f t="shared" si="1"/>
        <v>2079.969990523889</v>
      </c>
      <c r="G55" s="13">
        <f t="shared" si="2"/>
        <v>77391.262925413699</v>
      </c>
    </row>
    <row r="56" spans="3:7" x14ac:dyDescent="0.35">
      <c r="C56" s="12">
        <v>26</v>
      </c>
      <c r="D56" s="14">
        <f t="shared" si="3"/>
        <v>2676.0042373934211</v>
      </c>
      <c r="E56" s="13">
        <f t="shared" si="0"/>
        <v>580.43447194060275</v>
      </c>
      <c r="F56" s="14">
        <f t="shared" si="1"/>
        <v>2095.5697654528185</v>
      </c>
      <c r="G56" s="13">
        <f t="shared" si="2"/>
        <v>75295.69315996088</v>
      </c>
    </row>
    <row r="57" spans="3:7" x14ac:dyDescent="0.35">
      <c r="C57" s="12">
        <v>27</v>
      </c>
      <c r="D57" s="14">
        <f t="shared" si="3"/>
        <v>2676.0042373934211</v>
      </c>
      <c r="E57" s="13">
        <f t="shared" si="0"/>
        <v>564.7176986997066</v>
      </c>
      <c r="F57" s="14">
        <f t="shared" si="1"/>
        <v>2111.2865386937146</v>
      </c>
      <c r="G57" s="13">
        <f t="shared" si="2"/>
        <v>73184.406621267161</v>
      </c>
    </row>
    <row r="58" spans="3:7" x14ac:dyDescent="0.35">
      <c r="C58" s="12">
        <v>28</v>
      </c>
      <c r="D58" s="14">
        <f t="shared" si="3"/>
        <v>2676.0042373934211</v>
      </c>
      <c r="E58" s="13">
        <f t="shared" si="0"/>
        <v>548.88304965950363</v>
      </c>
      <c r="F58" s="14">
        <f t="shared" si="1"/>
        <v>2127.1211877339174</v>
      </c>
      <c r="G58" s="13">
        <f t="shared" si="2"/>
        <v>71057.285433533238</v>
      </c>
    </row>
    <row r="59" spans="3:7" x14ac:dyDescent="0.35">
      <c r="C59" s="12">
        <v>29</v>
      </c>
      <c r="D59" s="14">
        <f t="shared" si="3"/>
        <v>2676.0042373934211</v>
      </c>
      <c r="E59" s="13">
        <f t="shared" si="0"/>
        <v>532.92964075149928</v>
      </c>
      <c r="F59" s="14">
        <f t="shared" si="1"/>
        <v>2143.0745966419217</v>
      </c>
      <c r="G59" s="13">
        <f t="shared" si="2"/>
        <v>68914.210836891318</v>
      </c>
    </row>
    <row r="60" spans="3:7" x14ac:dyDescent="0.35">
      <c r="C60" s="12">
        <v>30</v>
      </c>
      <c r="D60" s="14">
        <f t="shared" si="3"/>
        <v>2676.0042373934211</v>
      </c>
      <c r="E60" s="13">
        <f t="shared" si="0"/>
        <v>516.85658127668489</v>
      </c>
      <c r="F60" s="14">
        <f t="shared" si="1"/>
        <v>2159.1476561167365</v>
      </c>
      <c r="G60" s="13">
        <f t="shared" si="2"/>
        <v>66755.063180774581</v>
      </c>
    </row>
    <row r="61" spans="3:7" x14ac:dyDescent="0.35">
      <c r="C61" s="12">
        <v>31</v>
      </c>
      <c r="D61" s="14">
        <f t="shared" si="3"/>
        <v>2676.0042373934211</v>
      </c>
      <c r="E61" s="13">
        <f t="shared" si="0"/>
        <v>500.6629738558093</v>
      </c>
      <c r="F61" s="14">
        <f t="shared" si="1"/>
        <v>2175.3412635376117</v>
      </c>
      <c r="G61" s="13">
        <f t="shared" si="2"/>
        <v>64579.721917236966</v>
      </c>
    </row>
    <row r="62" spans="3:7" x14ac:dyDescent="0.35">
      <c r="C62" s="12">
        <v>32</v>
      </c>
      <c r="D62" s="14">
        <f t="shared" si="3"/>
        <v>2676.0042373934211</v>
      </c>
      <c r="E62" s="13">
        <f t="shared" si="0"/>
        <v>484.3479143792772</v>
      </c>
      <c r="F62" s="14">
        <f t="shared" si="1"/>
        <v>2191.6563230141437</v>
      </c>
      <c r="G62" s="13">
        <f t="shared" si="2"/>
        <v>62388.065594222819</v>
      </c>
    </row>
    <row r="63" spans="3:7" x14ac:dyDescent="0.35">
      <c r="C63" s="12">
        <v>33</v>
      </c>
      <c r="D63" s="14">
        <f t="shared" si="3"/>
        <v>2676.0042373934211</v>
      </c>
      <c r="E63" s="13">
        <f t="shared" ref="E63:E90" si="4">IF(C63&gt;Term*Periods,"",G62*Rate/Periods)</f>
        <v>467.91049195667114</v>
      </c>
      <c r="F63" s="14">
        <f t="shared" ref="F63:F90" si="5">IF(C63&gt;Term*Periods,"",D63-E63)</f>
        <v>2208.0937454367499</v>
      </c>
      <c r="G63" s="13">
        <f t="shared" ref="G63:G90" si="6">IF(C63&gt;Term*Periods,"",G62-F63)</f>
        <v>60179.971848786066</v>
      </c>
    </row>
    <row r="64" spans="3:7" x14ac:dyDescent="0.35">
      <c r="C64" s="12">
        <v>34</v>
      </c>
      <c r="D64" s="14">
        <f t="shared" ref="D64:D90" si="7">IF(C64&gt;Term*Periods,"",IF(C64=Term*Periods,$D$31+$F$24,$D$31))</f>
        <v>2676.0042373934211</v>
      </c>
      <c r="E64" s="13">
        <f t="shared" si="4"/>
        <v>451.3497888658955</v>
      </c>
      <c r="F64" s="14">
        <f t="shared" si="5"/>
        <v>2224.6544485275258</v>
      </c>
      <c r="G64" s="13">
        <f t="shared" si="6"/>
        <v>57955.317400258544</v>
      </c>
    </row>
    <row r="65" spans="3:7" x14ac:dyDescent="0.35">
      <c r="C65" s="12">
        <v>35</v>
      </c>
      <c r="D65" s="14">
        <f t="shared" si="7"/>
        <v>2676.0042373934211</v>
      </c>
      <c r="E65" s="13">
        <f t="shared" si="4"/>
        <v>434.66488050193908</v>
      </c>
      <c r="F65" s="14">
        <f t="shared" si="5"/>
        <v>2241.3393568914821</v>
      </c>
      <c r="G65" s="13">
        <f t="shared" si="6"/>
        <v>55713.97804336706</v>
      </c>
    </row>
    <row r="66" spans="3:7" x14ac:dyDescent="0.35">
      <c r="C66" s="12">
        <v>36</v>
      </c>
      <c r="D66" s="14">
        <f t="shared" si="7"/>
        <v>2676.0042373934211</v>
      </c>
      <c r="E66" s="13">
        <f t="shared" si="4"/>
        <v>417.85483532525291</v>
      </c>
      <c r="F66" s="14">
        <f t="shared" si="5"/>
        <v>2258.1494020681685</v>
      </c>
      <c r="G66" s="13">
        <f t="shared" si="6"/>
        <v>53455.828641298889</v>
      </c>
    </row>
    <row r="67" spans="3:7" x14ac:dyDescent="0.35">
      <c r="C67" s="12">
        <v>37</v>
      </c>
      <c r="D67" s="14">
        <f t="shared" si="7"/>
        <v>2676.0042373934211</v>
      </c>
      <c r="E67" s="13">
        <f t="shared" si="4"/>
        <v>400.91871480974169</v>
      </c>
      <c r="F67" s="14">
        <f t="shared" si="5"/>
        <v>2275.0855225836794</v>
      </c>
      <c r="G67" s="13">
        <f t="shared" si="6"/>
        <v>51180.743118715211</v>
      </c>
    </row>
    <row r="68" spans="3:7" x14ac:dyDescent="0.35">
      <c r="C68" s="12">
        <v>38</v>
      </c>
      <c r="D68" s="14">
        <f t="shared" si="7"/>
        <v>2676.0042373934211</v>
      </c>
      <c r="E68" s="13">
        <f t="shared" si="4"/>
        <v>383.85557339036404</v>
      </c>
      <c r="F68" s="14">
        <f t="shared" si="5"/>
        <v>2292.1486640030571</v>
      </c>
      <c r="G68" s="13">
        <f t="shared" si="6"/>
        <v>48888.594454712154</v>
      </c>
    </row>
    <row r="69" spans="3:7" x14ac:dyDescent="0.35">
      <c r="C69" s="12">
        <v>39</v>
      </c>
      <c r="D69" s="14">
        <f t="shared" si="7"/>
        <v>2676.0042373934211</v>
      </c>
      <c r="E69" s="13">
        <f t="shared" si="4"/>
        <v>366.66445841034118</v>
      </c>
      <c r="F69" s="14">
        <f t="shared" si="5"/>
        <v>2309.3397789830801</v>
      </c>
      <c r="G69" s="13">
        <f t="shared" si="6"/>
        <v>46579.254675729077</v>
      </c>
    </row>
    <row r="70" spans="3:7" x14ac:dyDescent="0.35">
      <c r="C70" s="12">
        <v>40</v>
      </c>
      <c r="D70" s="14">
        <f t="shared" si="7"/>
        <v>2676.0042373934211</v>
      </c>
      <c r="E70" s="13">
        <f t="shared" si="4"/>
        <v>349.34441006796806</v>
      </c>
      <c r="F70" s="14">
        <f t="shared" si="5"/>
        <v>2326.6598273254531</v>
      </c>
      <c r="G70" s="13">
        <f t="shared" si="6"/>
        <v>44252.59484840362</v>
      </c>
    </row>
    <row r="71" spans="3:7" x14ac:dyDescent="0.35">
      <c r="C71" s="12">
        <v>41</v>
      </c>
      <c r="D71" s="14">
        <f t="shared" si="7"/>
        <v>2676.0042373934211</v>
      </c>
      <c r="E71" s="13">
        <f t="shared" si="4"/>
        <v>331.89446136302712</v>
      </c>
      <c r="F71" s="14">
        <f t="shared" si="5"/>
        <v>2344.1097760303942</v>
      </c>
      <c r="G71" s="13">
        <f t="shared" si="6"/>
        <v>41908.485072373223</v>
      </c>
    </row>
    <row r="72" spans="3:7" x14ac:dyDescent="0.35">
      <c r="C72" s="12">
        <v>42</v>
      </c>
      <c r="D72" s="14">
        <f t="shared" si="7"/>
        <v>2676.0042373934211</v>
      </c>
      <c r="E72" s="13">
        <f t="shared" si="4"/>
        <v>314.31363804279914</v>
      </c>
      <c r="F72" s="14">
        <f t="shared" si="5"/>
        <v>2361.6905993506221</v>
      </c>
      <c r="G72" s="13">
        <f t="shared" si="6"/>
        <v>39546.794473022601</v>
      </c>
    </row>
    <row r="73" spans="3:7" x14ac:dyDescent="0.35">
      <c r="C73" s="12">
        <v>43</v>
      </c>
      <c r="D73" s="14">
        <f t="shared" si="7"/>
        <v>2676.0042373934211</v>
      </c>
      <c r="E73" s="13">
        <f t="shared" si="4"/>
        <v>296.60095854766951</v>
      </c>
      <c r="F73" s="14">
        <f t="shared" si="5"/>
        <v>2379.4032788457516</v>
      </c>
      <c r="G73" s="13">
        <f t="shared" si="6"/>
        <v>37167.391194176846</v>
      </c>
    </row>
    <row r="74" spans="3:7" x14ac:dyDescent="0.35">
      <c r="C74" s="12">
        <v>44</v>
      </c>
      <c r="D74" s="14">
        <f t="shared" si="7"/>
        <v>2676.0042373934211</v>
      </c>
      <c r="E74" s="13">
        <f t="shared" si="4"/>
        <v>278.75543395632633</v>
      </c>
      <c r="F74" s="14">
        <f t="shared" si="5"/>
        <v>2397.2488034370949</v>
      </c>
      <c r="G74" s="13">
        <f t="shared" si="6"/>
        <v>34770.142390739747</v>
      </c>
    </row>
    <row r="75" spans="3:7" x14ac:dyDescent="0.35">
      <c r="C75" s="12">
        <v>45</v>
      </c>
      <c r="D75" s="14">
        <f t="shared" si="7"/>
        <v>2676.0042373934211</v>
      </c>
      <c r="E75" s="13">
        <f t="shared" si="4"/>
        <v>260.77606793054809</v>
      </c>
      <c r="F75" s="14">
        <f t="shared" si="5"/>
        <v>2415.2281694628732</v>
      </c>
      <c r="G75" s="13">
        <f t="shared" si="6"/>
        <v>32354.914221276875</v>
      </c>
    </row>
    <row r="76" spans="3:7" x14ac:dyDescent="0.35">
      <c r="C76" s="12">
        <v>46</v>
      </c>
      <c r="D76" s="14">
        <f t="shared" si="7"/>
        <v>2676.0042373934211</v>
      </c>
      <c r="E76" s="13">
        <f t="shared" si="4"/>
        <v>242.66185665957656</v>
      </c>
      <c r="F76" s="14">
        <f t="shared" si="5"/>
        <v>2433.3423807338445</v>
      </c>
      <c r="G76" s="13">
        <f t="shared" si="6"/>
        <v>29921.571840543031</v>
      </c>
    </row>
    <row r="77" spans="3:7" x14ac:dyDescent="0.35">
      <c r="C77" s="12">
        <v>47</v>
      </c>
      <c r="D77" s="14">
        <f t="shared" si="7"/>
        <v>2676.0042373934211</v>
      </c>
      <c r="E77" s="13">
        <f t="shared" si="4"/>
        <v>224.4117888040727</v>
      </c>
      <c r="F77" s="14">
        <f t="shared" si="5"/>
        <v>2451.5924485893484</v>
      </c>
      <c r="G77" s="13">
        <f t="shared" si="6"/>
        <v>27469.979391953682</v>
      </c>
    </row>
    <row r="78" spans="3:7" x14ac:dyDescent="0.35">
      <c r="C78" s="12">
        <v>48</v>
      </c>
      <c r="D78" s="14">
        <f t="shared" si="7"/>
        <v>27676.004237393419</v>
      </c>
      <c r="E78" s="13">
        <f t="shared" si="4"/>
        <v>206.02484543965261</v>
      </c>
      <c r="F78" s="14">
        <f t="shared" si="5"/>
        <v>27469.979391953766</v>
      </c>
      <c r="G78" s="13">
        <f t="shared" si="6"/>
        <v>-8.3673512563109398E-11</v>
      </c>
    </row>
    <row r="79" spans="3:7" x14ac:dyDescent="0.35">
      <c r="C79" s="12">
        <v>49</v>
      </c>
      <c r="D79" s="14" t="str">
        <f t="shared" si="7"/>
        <v/>
      </c>
      <c r="E79" s="13" t="str">
        <f t="shared" si="4"/>
        <v/>
      </c>
      <c r="F79" s="14" t="str">
        <f t="shared" si="5"/>
        <v/>
      </c>
      <c r="G79" s="13" t="str">
        <f t="shared" si="6"/>
        <v/>
      </c>
    </row>
    <row r="80" spans="3:7" x14ac:dyDescent="0.35">
      <c r="C80" s="12">
        <v>50</v>
      </c>
      <c r="D80" s="14" t="str">
        <f t="shared" si="7"/>
        <v/>
      </c>
      <c r="E80" s="13" t="str">
        <f t="shared" si="4"/>
        <v/>
      </c>
      <c r="F80" s="14" t="str">
        <f t="shared" si="5"/>
        <v/>
      </c>
      <c r="G80" s="13" t="str">
        <f t="shared" si="6"/>
        <v/>
      </c>
    </row>
    <row r="81" spans="3:7" x14ac:dyDescent="0.35">
      <c r="C81" s="12">
        <v>51</v>
      </c>
      <c r="D81" s="14" t="str">
        <f t="shared" si="7"/>
        <v/>
      </c>
      <c r="E81" s="13" t="str">
        <f t="shared" si="4"/>
        <v/>
      </c>
      <c r="F81" s="14" t="str">
        <f t="shared" si="5"/>
        <v/>
      </c>
      <c r="G81" s="13" t="str">
        <f t="shared" si="6"/>
        <v/>
      </c>
    </row>
    <row r="82" spans="3:7" x14ac:dyDescent="0.35">
      <c r="C82" s="12">
        <v>52</v>
      </c>
      <c r="D82" s="14" t="str">
        <f t="shared" si="7"/>
        <v/>
      </c>
      <c r="E82" s="13" t="str">
        <f t="shared" si="4"/>
        <v/>
      </c>
      <c r="F82" s="14" t="str">
        <f t="shared" si="5"/>
        <v/>
      </c>
      <c r="G82" s="13" t="str">
        <f t="shared" si="6"/>
        <v/>
      </c>
    </row>
    <row r="83" spans="3:7" x14ac:dyDescent="0.35">
      <c r="C83" s="12">
        <v>53</v>
      </c>
      <c r="D83" s="14" t="str">
        <f t="shared" si="7"/>
        <v/>
      </c>
      <c r="E83" s="13" t="str">
        <f t="shared" si="4"/>
        <v/>
      </c>
      <c r="F83" s="14" t="str">
        <f t="shared" si="5"/>
        <v/>
      </c>
      <c r="G83" s="13" t="str">
        <f t="shared" si="6"/>
        <v/>
      </c>
    </row>
    <row r="84" spans="3:7" x14ac:dyDescent="0.35">
      <c r="C84" s="12">
        <v>54</v>
      </c>
      <c r="D84" s="14" t="str">
        <f t="shared" si="7"/>
        <v/>
      </c>
      <c r="E84" s="13" t="str">
        <f t="shared" si="4"/>
        <v/>
      </c>
      <c r="F84" s="14" t="str">
        <f t="shared" si="5"/>
        <v/>
      </c>
      <c r="G84" s="13" t="str">
        <f t="shared" si="6"/>
        <v/>
      </c>
    </row>
    <row r="85" spans="3:7" x14ac:dyDescent="0.35">
      <c r="C85" s="12">
        <v>55</v>
      </c>
      <c r="D85" s="14" t="str">
        <f t="shared" si="7"/>
        <v/>
      </c>
      <c r="E85" s="13" t="str">
        <f t="shared" si="4"/>
        <v/>
      </c>
      <c r="F85" s="14" t="str">
        <f t="shared" si="5"/>
        <v/>
      </c>
      <c r="G85" s="13" t="str">
        <f t="shared" si="6"/>
        <v/>
      </c>
    </row>
    <row r="86" spans="3:7" x14ac:dyDescent="0.35">
      <c r="C86" s="12">
        <v>56</v>
      </c>
      <c r="D86" s="14" t="str">
        <f t="shared" si="7"/>
        <v/>
      </c>
      <c r="E86" s="13" t="str">
        <f t="shared" si="4"/>
        <v/>
      </c>
      <c r="F86" s="14" t="str">
        <f t="shared" si="5"/>
        <v/>
      </c>
      <c r="G86" s="13" t="str">
        <f t="shared" si="6"/>
        <v/>
      </c>
    </row>
    <row r="87" spans="3:7" x14ac:dyDescent="0.35">
      <c r="C87" s="12">
        <v>57</v>
      </c>
      <c r="D87" s="14" t="str">
        <f t="shared" si="7"/>
        <v/>
      </c>
      <c r="E87" s="13" t="str">
        <f t="shared" si="4"/>
        <v/>
      </c>
      <c r="F87" s="14" t="str">
        <f t="shared" si="5"/>
        <v/>
      </c>
      <c r="G87" s="13" t="str">
        <f t="shared" si="6"/>
        <v/>
      </c>
    </row>
    <row r="88" spans="3:7" x14ac:dyDescent="0.35">
      <c r="C88" s="12">
        <v>58</v>
      </c>
      <c r="D88" s="14" t="str">
        <f t="shared" si="7"/>
        <v/>
      </c>
      <c r="E88" s="13" t="str">
        <f t="shared" si="4"/>
        <v/>
      </c>
      <c r="F88" s="14" t="str">
        <f t="shared" si="5"/>
        <v/>
      </c>
      <c r="G88" s="13" t="str">
        <f t="shared" si="6"/>
        <v/>
      </c>
    </row>
    <row r="89" spans="3:7" x14ac:dyDescent="0.35">
      <c r="C89" s="12">
        <v>59</v>
      </c>
      <c r="D89" s="14" t="str">
        <f t="shared" si="7"/>
        <v/>
      </c>
      <c r="E89" s="13" t="str">
        <f t="shared" si="4"/>
        <v/>
      </c>
      <c r="F89" s="14" t="str">
        <f t="shared" si="5"/>
        <v/>
      </c>
      <c r="G89" s="13" t="str">
        <f t="shared" si="6"/>
        <v/>
      </c>
    </row>
    <row r="90" spans="3:7" x14ac:dyDescent="0.35">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5% and 15%." sqref="F23">
      <formula1>0.05</formula1>
      <formula2>0.15</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topLeftCell="A16" zoomScale="115" zoomScaleNormal="115" workbookViewId="0">
      <selection activeCell="C22" sqref="C22"/>
    </sheetView>
  </sheetViews>
  <sheetFormatPr defaultColWidth="8.7265625" defaultRowHeight="14.5" x14ac:dyDescent="0.35"/>
  <cols>
    <col min="1" max="1" width="8.7265625" style="48"/>
    <col min="2" max="2" width="29.26953125" style="48" customWidth="1"/>
    <col min="3" max="3" width="12.81640625" style="48" customWidth="1"/>
    <col min="4" max="4" width="2.54296875" style="48" customWidth="1"/>
    <col min="5" max="5" width="15.7265625" style="48" customWidth="1"/>
    <col min="6" max="6" width="24" style="48" customWidth="1"/>
    <col min="7" max="7" width="18.453125" style="48" customWidth="1"/>
    <col min="8" max="16384" width="8.7265625" style="48"/>
  </cols>
  <sheetData>
    <row r="18" spans="2:7" ht="15.75" thickBot="1" x14ac:dyDescent="0.3">
      <c r="B18" s="48" t="s">
        <v>68</v>
      </c>
      <c r="C18" s="49">
        <v>200000</v>
      </c>
      <c r="E18" s="48" t="s">
        <v>91</v>
      </c>
    </row>
    <row r="19" spans="2:7" ht="15.75" thickBot="1" x14ac:dyDescent="0.3">
      <c r="B19" s="48" t="s">
        <v>69</v>
      </c>
      <c r="C19" s="46">
        <v>8</v>
      </c>
      <c r="E19" s="48" t="s">
        <v>92</v>
      </c>
      <c r="G19" s="55">
        <f>PMT(C20/12,C19*12,-C18)</f>
        <v>2982.1774675559823</v>
      </c>
    </row>
    <row r="20" spans="2:7" ht="15" x14ac:dyDescent="0.25">
      <c r="B20" s="48" t="s">
        <v>16</v>
      </c>
      <c r="C20" s="59">
        <v>9.5000000000000001E-2</v>
      </c>
    </row>
    <row r="21" spans="2:7" ht="15" x14ac:dyDescent="0.25">
      <c r="B21" s="48" t="s">
        <v>70</v>
      </c>
      <c r="C21" s="49">
        <v>400</v>
      </c>
      <c r="E21" s="48" t="s">
        <v>90</v>
      </c>
    </row>
    <row r="22" spans="2:7" ht="15" thickBot="1" x14ac:dyDescent="0.4">
      <c r="E22" s="48" t="s">
        <v>71</v>
      </c>
    </row>
    <row r="23" spans="2:7" ht="15" thickBot="1" x14ac:dyDescent="0.4">
      <c r="E23" s="48" t="s">
        <v>93</v>
      </c>
      <c r="G23" s="50">
        <f>NPER(C20/12,G19+C21,-C18)</f>
        <v>80.06795646832019</v>
      </c>
    </row>
    <row r="25" spans="2:7" x14ac:dyDescent="0.35">
      <c r="E25" s="48" t="s">
        <v>72</v>
      </c>
    </row>
    <row r="26" spans="2:7" x14ac:dyDescent="0.35">
      <c r="E26" s="48" t="s">
        <v>73</v>
      </c>
    </row>
    <row r="27" spans="2:7" x14ac:dyDescent="0.35">
      <c r="E27" s="48" t="s">
        <v>74</v>
      </c>
    </row>
    <row r="28" spans="2:7" x14ac:dyDescent="0.35">
      <c r="E28" s="48" t="s">
        <v>75</v>
      </c>
    </row>
    <row r="29" spans="2:7" x14ac:dyDescent="0.35">
      <c r="E29" s="48" t="s">
        <v>76</v>
      </c>
    </row>
    <row r="30" spans="2:7" ht="15" thickBot="1" x14ac:dyDescent="0.4">
      <c r="E30" s="48" t="s">
        <v>77</v>
      </c>
    </row>
    <row r="31" spans="2:7" ht="15" thickBot="1" x14ac:dyDescent="0.4">
      <c r="E31" s="48" t="s">
        <v>78</v>
      </c>
      <c r="G31" s="5">
        <f>(G19*C19*12)-(G23*(G19+C21))</f>
        <v>15484.998644968495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9"/>
  <sheetViews>
    <sheetView workbookViewId="0">
      <selection activeCell="N23" sqref="N23"/>
    </sheetView>
  </sheetViews>
  <sheetFormatPr defaultRowHeight="14.5" x14ac:dyDescent="0.35"/>
  <cols>
    <col min="1" max="1" width="4.453125" customWidth="1"/>
    <col min="7" max="7" width="10.6328125" customWidth="1"/>
    <col min="8" max="8" width="16.453125" customWidth="1"/>
    <col min="13" max="13" width="9.81640625" customWidth="1"/>
    <col min="14" max="14" width="16.6328125" style="130" customWidth="1"/>
    <col min="15" max="15" width="14.453125" customWidth="1"/>
    <col min="16" max="16" width="15.08984375" customWidth="1"/>
  </cols>
  <sheetData>
    <row r="2" spans="2:16" x14ac:dyDescent="0.35">
      <c r="B2" s="61" t="s">
        <v>125</v>
      </c>
      <c r="C2" s="61"/>
      <c r="D2" s="61"/>
      <c r="E2" s="61"/>
      <c r="F2" s="61"/>
      <c r="G2" s="61"/>
      <c r="H2" s="61"/>
      <c r="I2" s="61"/>
      <c r="J2" s="61"/>
      <c r="K2" s="61"/>
    </row>
    <row r="3" spans="2:16" x14ac:dyDescent="0.35">
      <c r="B3" s="61" t="s">
        <v>126</v>
      </c>
      <c r="C3" s="61"/>
      <c r="D3" s="61"/>
      <c r="E3" s="61"/>
      <c r="F3" s="61"/>
      <c r="G3" s="61"/>
      <c r="H3" s="61"/>
      <c r="I3" s="61"/>
      <c r="J3" s="61"/>
      <c r="K3" s="61"/>
    </row>
    <row r="4" spans="2:16" x14ac:dyDescent="0.35">
      <c r="B4" s="61" t="s">
        <v>127</v>
      </c>
      <c r="C4" s="61"/>
      <c r="D4" s="61"/>
      <c r="E4" s="61"/>
      <c r="F4" s="61"/>
      <c r="G4" s="61"/>
      <c r="H4" s="61"/>
      <c r="I4" s="61"/>
      <c r="J4" s="61"/>
      <c r="K4" s="61"/>
    </row>
    <row r="5" spans="2:16" ht="24" customHeight="1" x14ac:dyDescent="0.35">
      <c r="B5" s="61" t="s">
        <v>128</v>
      </c>
      <c r="C5" s="61"/>
      <c r="D5" s="61"/>
      <c r="E5" s="61"/>
      <c r="F5" s="61"/>
      <c r="G5" s="61"/>
      <c r="H5" s="61"/>
      <c r="I5" s="61"/>
      <c r="J5" s="61"/>
      <c r="K5" s="61"/>
    </row>
    <row r="6" spans="2:16" x14ac:dyDescent="0.35">
      <c r="B6" s="61" t="s">
        <v>129</v>
      </c>
      <c r="C6" s="61"/>
      <c r="D6" s="61"/>
      <c r="E6" s="61"/>
      <c r="F6" s="61"/>
      <c r="G6" s="61"/>
      <c r="H6" s="61"/>
      <c r="I6" s="61"/>
      <c r="J6" s="61"/>
      <c r="K6" s="61"/>
    </row>
    <row r="7" spans="2:16" x14ac:dyDescent="0.35">
      <c r="B7" s="61" t="s">
        <v>130</v>
      </c>
      <c r="C7" s="61"/>
      <c r="D7" s="61"/>
      <c r="E7" s="61"/>
      <c r="F7" s="61"/>
      <c r="G7" s="61"/>
      <c r="H7" s="61"/>
      <c r="I7" s="61"/>
      <c r="J7" s="61"/>
      <c r="K7" s="61"/>
    </row>
    <row r="8" spans="2:16" x14ac:dyDescent="0.35">
      <c r="B8" s="61" t="s">
        <v>131</v>
      </c>
      <c r="C8" s="61"/>
      <c r="D8" s="61"/>
      <c r="E8" s="61"/>
      <c r="F8" s="61"/>
      <c r="G8" s="61"/>
      <c r="H8" s="61"/>
      <c r="I8" s="61"/>
      <c r="J8" s="61"/>
      <c r="K8" s="61"/>
    </row>
    <row r="9" spans="2:16" x14ac:dyDescent="0.35">
      <c r="B9" s="61" t="s">
        <v>132</v>
      </c>
      <c r="C9" s="61"/>
      <c r="D9" s="61"/>
      <c r="E9" s="61"/>
      <c r="F9" s="61"/>
      <c r="G9" s="61"/>
      <c r="H9" s="61"/>
      <c r="I9" s="61"/>
      <c r="J9" s="61"/>
      <c r="K9" s="61"/>
    </row>
    <row r="10" spans="2:16" x14ac:dyDescent="0.35">
      <c r="B10" s="61" t="s">
        <v>133</v>
      </c>
      <c r="C10" s="61"/>
      <c r="D10" s="61"/>
      <c r="E10" s="61"/>
      <c r="F10" s="61"/>
      <c r="G10" s="61"/>
      <c r="H10" s="61"/>
      <c r="I10" s="61"/>
      <c r="J10" s="61"/>
      <c r="K10" s="61"/>
    </row>
    <row r="11" spans="2:16" ht="15" thickBot="1" x14ac:dyDescent="0.4">
      <c r="B11" s="61"/>
      <c r="C11" s="61"/>
      <c r="D11" s="61"/>
      <c r="E11" s="61"/>
      <c r="F11" s="61"/>
      <c r="G11" s="61"/>
      <c r="H11" s="61"/>
      <c r="I11" s="61"/>
      <c r="J11" s="61"/>
      <c r="K11" s="61"/>
      <c r="O11" s="112"/>
      <c r="P11" s="112"/>
    </row>
    <row r="12" spans="2:16" ht="15" thickBot="1" x14ac:dyDescent="0.4">
      <c r="B12" s="61"/>
      <c r="C12" s="61" t="s">
        <v>134</v>
      </c>
      <c r="D12" s="61"/>
      <c r="E12" s="61"/>
      <c r="F12" s="61"/>
      <c r="G12" s="61"/>
      <c r="H12" s="65">
        <v>6.5000000000000002E-2</v>
      </c>
      <c r="I12" s="61"/>
      <c r="J12" s="61"/>
      <c r="K12" s="61"/>
      <c r="O12" s="112" t="s">
        <v>278</v>
      </c>
      <c r="P12" s="112" t="s">
        <v>280</v>
      </c>
    </row>
    <row r="13" spans="2:16" ht="15" thickBot="1" x14ac:dyDescent="0.4">
      <c r="B13" s="63"/>
      <c r="C13" s="63"/>
      <c r="D13" s="63"/>
      <c r="E13" s="63"/>
      <c r="F13" s="63"/>
      <c r="G13" s="63"/>
      <c r="H13" s="63"/>
      <c r="I13" s="63"/>
      <c r="J13" s="63"/>
      <c r="K13" s="63"/>
      <c r="M13" s="112" t="s">
        <v>281</v>
      </c>
      <c r="N13" s="112" t="s">
        <v>282</v>
      </c>
      <c r="O13" s="112" t="s">
        <v>279</v>
      </c>
      <c r="P13" s="112" t="s">
        <v>14</v>
      </c>
    </row>
    <row r="14" spans="2:16" ht="15" thickBot="1" x14ac:dyDescent="0.4">
      <c r="B14" s="119" t="s">
        <v>135</v>
      </c>
      <c r="C14" s="119"/>
      <c r="D14" s="119"/>
      <c r="E14" s="119"/>
      <c r="F14" s="119"/>
      <c r="G14" s="119"/>
      <c r="H14" s="119"/>
      <c r="I14" s="119"/>
      <c r="J14" s="119"/>
      <c r="K14" s="119"/>
      <c r="M14" s="129">
        <v>40909</v>
      </c>
      <c r="N14" s="130" t="s">
        <v>218</v>
      </c>
      <c r="O14" s="62">
        <f>H20</f>
        <v>6868.510127215106</v>
      </c>
      <c r="P14" s="62">
        <f>O14</f>
        <v>6868.510127215106</v>
      </c>
    </row>
    <row r="15" spans="2:16" x14ac:dyDescent="0.35">
      <c r="M15" s="129">
        <v>41275</v>
      </c>
      <c r="N15" s="130" t="s">
        <v>219</v>
      </c>
      <c r="O15" s="62">
        <f>O14</f>
        <v>6868.510127215106</v>
      </c>
      <c r="P15" s="62">
        <f>O15+(P14*(1+$H$12))</f>
        <v>14183.473412699193</v>
      </c>
    </row>
    <row r="16" spans="2:16" x14ac:dyDescent="0.35">
      <c r="C16" s="64" t="s">
        <v>140</v>
      </c>
      <c r="D16" t="s">
        <v>136</v>
      </c>
      <c r="H16" s="62">
        <f>-PV(H12,20,150000,0,1)</f>
        <v>1760206.5327662025</v>
      </c>
      <c r="M16" s="129">
        <v>41640</v>
      </c>
      <c r="N16" s="130" t="s">
        <v>220</v>
      </c>
      <c r="O16" s="62">
        <f t="shared" ref="O16:O53" si="0">O15</f>
        <v>6868.510127215106</v>
      </c>
      <c r="P16" s="62">
        <f t="shared" ref="P16:P78" si="1">O16+(P15*(1+$H$12))</f>
        <v>21973.909311739746</v>
      </c>
    </row>
    <row r="17" spans="3:16" x14ac:dyDescent="0.35">
      <c r="M17" s="129">
        <v>42005</v>
      </c>
      <c r="N17" s="130" t="s">
        <v>221</v>
      </c>
      <c r="O17" s="62">
        <f t="shared" si="0"/>
        <v>6868.510127215106</v>
      </c>
      <c r="P17" s="62">
        <f t="shared" si="1"/>
        <v>30270.723544217937</v>
      </c>
    </row>
    <row r="18" spans="3:16" x14ac:dyDescent="0.35">
      <c r="C18" s="64" t="s">
        <v>141</v>
      </c>
      <c r="D18" t="s">
        <v>137</v>
      </c>
      <c r="H18" s="62">
        <f>-PV(H12,45,0,H16)</f>
        <v>103474.00968822671</v>
      </c>
      <c r="M18" s="129">
        <v>42370</v>
      </c>
      <c r="N18" s="130" t="s">
        <v>222</v>
      </c>
      <c r="O18" s="62">
        <f t="shared" si="0"/>
        <v>6868.510127215106</v>
      </c>
      <c r="P18" s="62">
        <f t="shared" si="1"/>
        <v>39106.830701807208</v>
      </c>
    </row>
    <row r="19" spans="3:16" x14ac:dyDescent="0.35">
      <c r="M19" s="129">
        <v>42736</v>
      </c>
      <c r="N19" s="130" t="s">
        <v>223</v>
      </c>
      <c r="O19" s="62">
        <f t="shared" si="0"/>
        <v>6868.510127215106</v>
      </c>
      <c r="P19" s="62">
        <f t="shared" si="1"/>
        <v>48517.284824639784</v>
      </c>
    </row>
    <row r="20" spans="3:16" x14ac:dyDescent="0.35">
      <c r="C20" s="64" t="s">
        <v>142</v>
      </c>
      <c r="D20" t="s">
        <v>138</v>
      </c>
      <c r="H20" s="62">
        <f>PMT(H12,40,-H18,0,1)</f>
        <v>6868.510127215106</v>
      </c>
      <c r="I20" s="64" t="s">
        <v>143</v>
      </c>
      <c r="M20" s="129">
        <v>43101</v>
      </c>
      <c r="N20" s="130" t="s">
        <v>224</v>
      </c>
      <c r="O20" s="62">
        <f t="shared" si="0"/>
        <v>6868.510127215106</v>
      </c>
      <c r="P20" s="62">
        <f t="shared" si="1"/>
        <v>58539.418465456474</v>
      </c>
    </row>
    <row r="21" spans="3:16" x14ac:dyDescent="0.35">
      <c r="D21" t="s">
        <v>139</v>
      </c>
      <c r="M21" s="129">
        <v>43466</v>
      </c>
      <c r="N21" s="130" t="s">
        <v>225</v>
      </c>
      <c r="O21" s="62">
        <f t="shared" si="0"/>
        <v>6868.510127215106</v>
      </c>
      <c r="P21" s="62">
        <f t="shared" si="1"/>
        <v>69212.990792926241</v>
      </c>
    </row>
    <row r="22" spans="3:16" x14ac:dyDescent="0.35">
      <c r="M22" s="129">
        <v>43831</v>
      </c>
      <c r="N22" s="130" t="s">
        <v>226</v>
      </c>
      <c r="O22" s="62">
        <f t="shared" si="0"/>
        <v>6868.510127215106</v>
      </c>
      <c r="P22" s="62">
        <f t="shared" si="1"/>
        <v>80580.345321681554</v>
      </c>
    </row>
    <row r="23" spans="3:16" x14ac:dyDescent="0.35">
      <c r="M23" s="129">
        <v>44197</v>
      </c>
      <c r="N23" s="130" t="s">
        <v>227</v>
      </c>
      <c r="O23" s="62">
        <f t="shared" si="0"/>
        <v>6868.510127215106</v>
      </c>
      <c r="P23" s="62">
        <f t="shared" si="1"/>
        <v>92686.57789480596</v>
      </c>
    </row>
    <row r="24" spans="3:16" x14ac:dyDescent="0.35">
      <c r="M24" s="129">
        <v>44562</v>
      </c>
      <c r="N24" s="130" t="s">
        <v>228</v>
      </c>
      <c r="O24" s="62">
        <f t="shared" si="0"/>
        <v>6868.510127215106</v>
      </c>
      <c r="P24" s="62">
        <f t="shared" si="1"/>
        <v>105579.71558518345</v>
      </c>
    </row>
    <row r="25" spans="3:16" x14ac:dyDescent="0.35">
      <c r="M25" s="129">
        <v>44927</v>
      </c>
      <c r="N25" s="130" t="s">
        <v>229</v>
      </c>
      <c r="O25" s="62">
        <f t="shared" si="0"/>
        <v>6868.510127215106</v>
      </c>
      <c r="P25" s="62">
        <f t="shared" si="1"/>
        <v>119310.90722543548</v>
      </c>
    </row>
    <row r="26" spans="3:16" x14ac:dyDescent="0.35">
      <c r="M26" s="129">
        <v>45292</v>
      </c>
      <c r="N26" s="130" t="s">
        <v>230</v>
      </c>
      <c r="O26" s="62">
        <f t="shared" si="0"/>
        <v>6868.510127215106</v>
      </c>
      <c r="P26" s="62">
        <f t="shared" si="1"/>
        <v>133934.62632230387</v>
      </c>
    </row>
    <row r="27" spans="3:16" x14ac:dyDescent="0.35">
      <c r="M27" s="129">
        <v>45658</v>
      </c>
      <c r="N27" s="130" t="s">
        <v>231</v>
      </c>
      <c r="O27" s="62">
        <f t="shared" si="0"/>
        <v>6868.510127215106</v>
      </c>
      <c r="P27" s="62">
        <f t="shared" si="1"/>
        <v>149508.8871604687</v>
      </c>
    </row>
    <row r="28" spans="3:16" x14ac:dyDescent="0.35">
      <c r="M28" s="129">
        <v>46023</v>
      </c>
      <c r="N28" s="130" t="s">
        <v>232</v>
      </c>
      <c r="O28" s="62">
        <f t="shared" si="0"/>
        <v>6868.510127215106</v>
      </c>
      <c r="P28" s="62">
        <f t="shared" si="1"/>
        <v>166095.47495311426</v>
      </c>
    </row>
    <row r="29" spans="3:16" x14ac:dyDescent="0.35">
      <c r="M29" s="129">
        <v>46388</v>
      </c>
      <c r="N29" s="130" t="s">
        <v>233</v>
      </c>
      <c r="O29" s="62">
        <f t="shared" si="0"/>
        <v>6868.510127215106</v>
      </c>
      <c r="P29" s="62">
        <f t="shared" si="1"/>
        <v>183760.19095228176</v>
      </c>
    </row>
    <row r="30" spans="3:16" x14ac:dyDescent="0.35">
      <c r="M30" s="129">
        <v>46753</v>
      </c>
      <c r="N30" s="130" t="s">
        <v>234</v>
      </c>
      <c r="O30" s="62">
        <f t="shared" si="0"/>
        <v>6868.510127215106</v>
      </c>
      <c r="P30" s="62">
        <f t="shared" si="1"/>
        <v>202573.11349139517</v>
      </c>
    </row>
    <row r="31" spans="3:16" x14ac:dyDescent="0.35">
      <c r="M31" s="129">
        <v>47119</v>
      </c>
      <c r="N31" s="130" t="s">
        <v>235</v>
      </c>
      <c r="O31" s="62">
        <f t="shared" si="0"/>
        <v>6868.510127215106</v>
      </c>
      <c r="P31" s="62">
        <f t="shared" si="1"/>
        <v>222608.87599555094</v>
      </c>
    </row>
    <row r="32" spans="3:16" x14ac:dyDescent="0.35">
      <c r="M32" s="129">
        <v>47484</v>
      </c>
      <c r="N32" s="130" t="s">
        <v>236</v>
      </c>
      <c r="O32" s="62">
        <f t="shared" si="0"/>
        <v>6868.510127215106</v>
      </c>
      <c r="P32" s="62">
        <f t="shared" si="1"/>
        <v>243946.96306247683</v>
      </c>
    </row>
    <row r="33" spans="13:16" x14ac:dyDescent="0.35">
      <c r="M33" s="129">
        <v>47849</v>
      </c>
      <c r="N33" s="130" t="s">
        <v>237</v>
      </c>
      <c r="O33" s="62">
        <f t="shared" si="0"/>
        <v>6868.510127215106</v>
      </c>
      <c r="P33" s="62">
        <f t="shared" si="1"/>
        <v>266672.02578875294</v>
      </c>
    </row>
    <row r="34" spans="13:16" x14ac:dyDescent="0.35">
      <c r="M34" s="129">
        <v>48214</v>
      </c>
      <c r="N34" s="130" t="s">
        <v>238</v>
      </c>
      <c r="O34" s="62">
        <f t="shared" si="0"/>
        <v>6868.510127215106</v>
      </c>
      <c r="P34" s="62">
        <f t="shared" si="1"/>
        <v>290874.21759223699</v>
      </c>
    </row>
    <row r="35" spans="13:16" x14ac:dyDescent="0.35">
      <c r="M35" s="129">
        <v>48580</v>
      </c>
      <c r="N35" s="130" t="s">
        <v>239</v>
      </c>
      <c r="O35" s="62">
        <f t="shared" si="0"/>
        <v>6868.510127215106</v>
      </c>
      <c r="P35" s="62">
        <f t="shared" si="1"/>
        <v>316649.55186294753</v>
      </c>
    </row>
    <row r="36" spans="13:16" x14ac:dyDescent="0.35">
      <c r="M36" s="129">
        <v>48945</v>
      </c>
      <c r="N36" s="130" t="s">
        <v>240</v>
      </c>
      <c r="O36" s="62">
        <f t="shared" si="0"/>
        <v>6868.510127215106</v>
      </c>
      <c r="P36" s="62">
        <f t="shared" si="1"/>
        <v>344100.28286125424</v>
      </c>
    </row>
    <row r="37" spans="13:16" x14ac:dyDescent="0.35">
      <c r="M37" s="129">
        <v>49310</v>
      </c>
      <c r="N37" s="130" t="s">
        <v>241</v>
      </c>
      <c r="O37" s="62">
        <f t="shared" si="0"/>
        <v>6868.510127215106</v>
      </c>
      <c r="P37" s="62">
        <f t="shared" si="1"/>
        <v>373335.31137445086</v>
      </c>
    </row>
    <row r="38" spans="13:16" x14ac:dyDescent="0.35">
      <c r="M38" s="129">
        <v>49675</v>
      </c>
      <c r="N38" s="130" t="s">
        <v>242</v>
      </c>
      <c r="O38" s="62">
        <f t="shared" si="0"/>
        <v>6868.510127215106</v>
      </c>
      <c r="P38" s="62">
        <f t="shared" si="1"/>
        <v>404470.61674100527</v>
      </c>
    </row>
    <row r="39" spans="13:16" x14ac:dyDescent="0.35">
      <c r="M39" s="129">
        <v>50041</v>
      </c>
      <c r="N39" s="130" t="s">
        <v>243</v>
      </c>
      <c r="O39" s="62">
        <f t="shared" si="0"/>
        <v>6868.510127215106</v>
      </c>
      <c r="P39" s="62">
        <f t="shared" si="1"/>
        <v>437629.7169563857</v>
      </c>
    </row>
    <row r="40" spans="13:16" x14ac:dyDescent="0.35">
      <c r="M40" s="129">
        <v>50406</v>
      </c>
      <c r="N40" s="130" t="s">
        <v>244</v>
      </c>
      <c r="O40" s="62">
        <f t="shared" si="0"/>
        <v>6868.510127215106</v>
      </c>
      <c r="P40" s="62">
        <f t="shared" si="1"/>
        <v>472944.15868576587</v>
      </c>
    </row>
    <row r="41" spans="13:16" x14ac:dyDescent="0.35">
      <c r="M41" s="129">
        <v>50771</v>
      </c>
      <c r="N41" s="130" t="s">
        <v>245</v>
      </c>
      <c r="O41" s="62">
        <f t="shared" si="0"/>
        <v>6868.510127215106</v>
      </c>
      <c r="P41" s="62">
        <f t="shared" si="1"/>
        <v>510554.03912755573</v>
      </c>
    </row>
    <row r="42" spans="13:16" x14ac:dyDescent="0.35">
      <c r="M42" s="129">
        <v>51136</v>
      </c>
      <c r="N42" s="130" t="s">
        <v>246</v>
      </c>
      <c r="O42" s="62">
        <f t="shared" si="0"/>
        <v>6868.510127215106</v>
      </c>
      <c r="P42" s="62">
        <f t="shared" si="1"/>
        <v>550608.56179806194</v>
      </c>
    </row>
    <row r="43" spans="13:16" x14ac:dyDescent="0.35">
      <c r="M43" s="129">
        <v>51502</v>
      </c>
      <c r="N43" s="130" t="s">
        <v>247</v>
      </c>
      <c r="O43" s="62">
        <f t="shared" si="0"/>
        <v>6868.510127215106</v>
      </c>
      <c r="P43" s="62">
        <f t="shared" si="1"/>
        <v>593266.62844215101</v>
      </c>
    </row>
    <row r="44" spans="13:16" x14ac:dyDescent="0.35">
      <c r="M44" s="129">
        <v>51867</v>
      </c>
      <c r="N44" s="130" t="s">
        <v>248</v>
      </c>
      <c r="O44" s="62">
        <f t="shared" si="0"/>
        <v>6868.510127215106</v>
      </c>
      <c r="P44" s="62">
        <f t="shared" si="1"/>
        <v>638697.4694181059</v>
      </c>
    </row>
    <row r="45" spans="13:16" x14ac:dyDescent="0.35">
      <c r="M45" s="129">
        <v>52232</v>
      </c>
      <c r="N45" s="130" t="s">
        <v>249</v>
      </c>
      <c r="O45" s="62">
        <f t="shared" si="0"/>
        <v>6868.510127215106</v>
      </c>
      <c r="P45" s="62">
        <f t="shared" si="1"/>
        <v>687081.31505749782</v>
      </c>
    </row>
    <row r="46" spans="13:16" x14ac:dyDescent="0.35">
      <c r="M46" s="129">
        <v>52597</v>
      </c>
      <c r="N46" s="130" t="s">
        <v>250</v>
      </c>
      <c r="O46" s="62">
        <f t="shared" si="0"/>
        <v>6868.510127215106</v>
      </c>
      <c r="P46" s="62">
        <f t="shared" si="1"/>
        <v>738610.11066345021</v>
      </c>
    </row>
    <row r="47" spans="13:16" x14ac:dyDescent="0.35">
      <c r="M47" s="129">
        <v>52963</v>
      </c>
      <c r="N47" s="130" t="s">
        <v>251</v>
      </c>
      <c r="O47" s="62">
        <f t="shared" si="0"/>
        <v>6868.510127215106</v>
      </c>
      <c r="P47" s="62">
        <f t="shared" si="1"/>
        <v>793488.27798378945</v>
      </c>
    </row>
    <row r="48" spans="13:16" x14ac:dyDescent="0.35">
      <c r="M48" s="129">
        <v>53328</v>
      </c>
      <c r="N48" s="130" t="s">
        <v>252</v>
      </c>
      <c r="O48" s="62">
        <f t="shared" si="0"/>
        <v>6868.510127215106</v>
      </c>
      <c r="P48" s="62">
        <f t="shared" si="1"/>
        <v>851933.5261799508</v>
      </c>
    </row>
    <row r="49" spans="13:16" x14ac:dyDescent="0.35">
      <c r="M49" s="129">
        <v>53693</v>
      </c>
      <c r="N49" s="130" t="s">
        <v>253</v>
      </c>
      <c r="O49" s="62">
        <f t="shared" si="0"/>
        <v>6868.510127215106</v>
      </c>
      <c r="P49" s="62">
        <f t="shared" si="1"/>
        <v>914177.71550886263</v>
      </c>
    </row>
    <row r="50" spans="13:16" x14ac:dyDescent="0.35">
      <c r="M50" s="129">
        <v>54058</v>
      </c>
      <c r="N50" s="130" t="s">
        <v>254</v>
      </c>
      <c r="O50" s="62">
        <f t="shared" si="0"/>
        <v>6868.510127215106</v>
      </c>
      <c r="P50" s="62">
        <f t="shared" si="1"/>
        <v>980467.77714415372</v>
      </c>
    </row>
    <row r="51" spans="13:16" x14ac:dyDescent="0.35">
      <c r="M51" s="129">
        <v>54424</v>
      </c>
      <c r="N51" s="130" t="s">
        <v>255</v>
      </c>
      <c r="O51" s="62">
        <f t="shared" si="0"/>
        <v>6868.510127215106</v>
      </c>
      <c r="P51" s="62">
        <f t="shared" si="1"/>
        <v>1051066.6927857387</v>
      </c>
    </row>
    <row r="52" spans="13:16" x14ac:dyDescent="0.35">
      <c r="M52" s="129">
        <v>54789</v>
      </c>
      <c r="N52" s="130" t="s">
        <v>256</v>
      </c>
      <c r="O52" s="62">
        <f t="shared" si="0"/>
        <v>6868.510127215106</v>
      </c>
      <c r="P52" s="62">
        <f t="shared" si="1"/>
        <v>1126254.537944027</v>
      </c>
    </row>
    <row r="53" spans="13:16" x14ac:dyDescent="0.35">
      <c r="M53" s="129">
        <v>55154</v>
      </c>
      <c r="N53" s="130" t="s">
        <v>257</v>
      </c>
      <c r="O53" s="62">
        <f t="shared" si="0"/>
        <v>6868.510127215106</v>
      </c>
      <c r="P53" s="62">
        <f t="shared" si="1"/>
        <v>1206329.5930376039</v>
      </c>
    </row>
    <row r="54" spans="13:16" x14ac:dyDescent="0.35">
      <c r="M54" s="129">
        <v>55519</v>
      </c>
      <c r="N54" s="130" t="s">
        <v>283</v>
      </c>
      <c r="O54">
        <v>0</v>
      </c>
      <c r="P54" s="62">
        <f t="shared" si="1"/>
        <v>1284741.0165850481</v>
      </c>
    </row>
    <row r="55" spans="13:16" x14ac:dyDescent="0.35">
      <c r="M55" s="129">
        <v>55885</v>
      </c>
      <c r="N55" s="130" t="s">
        <v>283</v>
      </c>
      <c r="O55">
        <v>0</v>
      </c>
      <c r="P55" s="62">
        <f t="shared" si="1"/>
        <v>1368249.1826630761</v>
      </c>
    </row>
    <row r="56" spans="13:16" x14ac:dyDescent="0.35">
      <c r="M56" s="129">
        <v>56250</v>
      </c>
      <c r="N56" s="130" t="s">
        <v>283</v>
      </c>
      <c r="O56">
        <v>0</v>
      </c>
      <c r="P56" s="62">
        <f t="shared" si="1"/>
        <v>1457185.3795361759</v>
      </c>
    </row>
    <row r="57" spans="13:16" x14ac:dyDescent="0.35">
      <c r="M57" s="129">
        <v>56615</v>
      </c>
      <c r="N57" s="130" t="s">
        <v>283</v>
      </c>
      <c r="O57">
        <v>0</v>
      </c>
      <c r="P57" s="62">
        <f t="shared" si="1"/>
        <v>1551902.4292060272</v>
      </c>
    </row>
    <row r="58" spans="13:16" x14ac:dyDescent="0.35">
      <c r="M58" s="129">
        <v>56980</v>
      </c>
      <c r="N58" s="130" t="s">
        <v>283</v>
      </c>
      <c r="O58">
        <v>0</v>
      </c>
      <c r="P58" s="62">
        <f t="shared" si="1"/>
        <v>1652776.0871044188</v>
      </c>
    </row>
    <row r="59" spans="13:16" x14ac:dyDescent="0.35">
      <c r="M59" s="129">
        <v>57346</v>
      </c>
      <c r="N59" s="130" t="s">
        <v>258</v>
      </c>
      <c r="O59" s="62">
        <v>-150000</v>
      </c>
      <c r="P59" s="62">
        <f t="shared" si="1"/>
        <v>1610206.532766206</v>
      </c>
    </row>
    <row r="60" spans="13:16" x14ac:dyDescent="0.35">
      <c r="M60" s="129">
        <v>57711</v>
      </c>
      <c r="N60" s="130" t="s">
        <v>259</v>
      </c>
      <c r="O60" s="62">
        <v>-150000</v>
      </c>
      <c r="P60" s="62">
        <f t="shared" si="1"/>
        <v>1564869.9573960092</v>
      </c>
    </row>
    <row r="61" spans="13:16" x14ac:dyDescent="0.35">
      <c r="M61" s="129">
        <v>58076</v>
      </c>
      <c r="N61" s="130" t="s">
        <v>260</v>
      </c>
      <c r="O61" s="62">
        <v>-150000</v>
      </c>
      <c r="P61" s="62">
        <f t="shared" si="1"/>
        <v>1516586.5046267498</v>
      </c>
    </row>
    <row r="62" spans="13:16" x14ac:dyDescent="0.35">
      <c r="M62" s="129">
        <v>58441</v>
      </c>
      <c r="N62" s="130" t="s">
        <v>261</v>
      </c>
      <c r="O62" s="62">
        <v>-150000</v>
      </c>
      <c r="P62" s="62">
        <f t="shared" si="1"/>
        <v>1465164.6274274883</v>
      </c>
    </row>
    <row r="63" spans="13:16" x14ac:dyDescent="0.35">
      <c r="M63" s="129">
        <v>58807</v>
      </c>
      <c r="N63" s="130" t="s">
        <v>262</v>
      </c>
      <c r="O63" s="62">
        <v>-150000</v>
      </c>
      <c r="P63" s="62">
        <f t="shared" si="1"/>
        <v>1410400.3282102749</v>
      </c>
    </row>
    <row r="64" spans="13:16" x14ac:dyDescent="0.35">
      <c r="M64" s="129">
        <v>59172</v>
      </c>
      <c r="N64" s="130" t="s">
        <v>263</v>
      </c>
      <c r="O64" s="62">
        <v>-150000</v>
      </c>
      <c r="P64" s="62">
        <f t="shared" si="1"/>
        <v>1352076.3495439426</v>
      </c>
    </row>
    <row r="65" spans="13:16" x14ac:dyDescent="0.35">
      <c r="M65" s="129">
        <v>59537</v>
      </c>
      <c r="N65" s="130" t="s">
        <v>264</v>
      </c>
      <c r="O65" s="62">
        <v>-150000</v>
      </c>
      <c r="P65" s="62">
        <f t="shared" si="1"/>
        <v>1289961.3122642988</v>
      </c>
    </row>
    <row r="66" spans="13:16" x14ac:dyDescent="0.35">
      <c r="M66" s="129">
        <v>59902</v>
      </c>
      <c r="N66" s="130" t="s">
        <v>265</v>
      </c>
      <c r="O66" s="62">
        <v>-150000</v>
      </c>
      <c r="P66" s="62">
        <f t="shared" si="1"/>
        <v>1223808.7975614781</v>
      </c>
    </row>
    <row r="67" spans="13:16" x14ac:dyDescent="0.35">
      <c r="M67" s="129">
        <v>60268</v>
      </c>
      <c r="N67" s="130" t="s">
        <v>266</v>
      </c>
      <c r="O67" s="62">
        <v>-150000</v>
      </c>
      <c r="P67" s="62">
        <f t="shared" si="1"/>
        <v>1153356.3694029741</v>
      </c>
    </row>
    <row r="68" spans="13:16" x14ac:dyDescent="0.35">
      <c r="M68" s="129">
        <v>60633</v>
      </c>
      <c r="N68" s="130" t="s">
        <v>267</v>
      </c>
      <c r="O68" s="62">
        <v>-150000</v>
      </c>
      <c r="P68" s="62">
        <f t="shared" si="1"/>
        <v>1078324.5334141674</v>
      </c>
    </row>
    <row r="69" spans="13:16" x14ac:dyDescent="0.35">
      <c r="M69" s="129">
        <v>60998</v>
      </c>
      <c r="N69" s="130" t="s">
        <v>268</v>
      </c>
      <c r="O69" s="62">
        <v>-150000</v>
      </c>
      <c r="P69" s="62">
        <f t="shared" si="1"/>
        <v>998415.62808608823</v>
      </c>
    </row>
    <row r="70" spans="13:16" x14ac:dyDescent="0.35">
      <c r="M70" s="129">
        <v>61363</v>
      </c>
      <c r="N70" s="130" t="s">
        <v>269</v>
      </c>
      <c r="O70" s="62">
        <v>-150000</v>
      </c>
      <c r="P70" s="62">
        <f t="shared" si="1"/>
        <v>913312.64391168393</v>
      </c>
    </row>
    <row r="71" spans="13:16" x14ac:dyDescent="0.35">
      <c r="M71" s="129">
        <v>61729</v>
      </c>
      <c r="N71" s="130" t="s">
        <v>270</v>
      </c>
      <c r="O71" s="62">
        <v>-150000</v>
      </c>
      <c r="P71" s="62">
        <f t="shared" si="1"/>
        <v>822677.96576594329</v>
      </c>
    </row>
    <row r="72" spans="13:16" x14ac:dyDescent="0.35">
      <c r="M72" s="129">
        <v>62094</v>
      </c>
      <c r="N72" s="130" t="s">
        <v>271</v>
      </c>
      <c r="O72" s="62">
        <v>-150000</v>
      </c>
      <c r="P72" s="62">
        <f t="shared" si="1"/>
        <v>726152.03354072955</v>
      </c>
    </row>
    <row r="73" spans="13:16" x14ac:dyDescent="0.35">
      <c r="M73" s="129">
        <v>62459</v>
      </c>
      <c r="N73" s="130" t="s">
        <v>272</v>
      </c>
      <c r="O73" s="62">
        <v>-150000</v>
      </c>
      <c r="P73" s="62">
        <f t="shared" si="1"/>
        <v>623351.91572087689</v>
      </c>
    </row>
    <row r="74" spans="13:16" x14ac:dyDescent="0.35">
      <c r="M74" s="129">
        <v>62824</v>
      </c>
      <c r="N74" s="130" t="s">
        <v>273</v>
      </c>
      <c r="O74" s="62">
        <v>-150000</v>
      </c>
      <c r="P74" s="62">
        <f t="shared" si="1"/>
        <v>513869.7902427339</v>
      </c>
    </row>
    <row r="75" spans="13:16" x14ac:dyDescent="0.35">
      <c r="M75" s="129">
        <v>63190</v>
      </c>
      <c r="N75" s="130" t="s">
        <v>274</v>
      </c>
      <c r="O75" s="62">
        <v>-150000</v>
      </c>
      <c r="P75" s="62">
        <f t="shared" si="1"/>
        <v>397271.32660851162</v>
      </c>
    </row>
    <row r="76" spans="13:16" x14ac:dyDescent="0.35">
      <c r="M76" s="129">
        <v>63555</v>
      </c>
      <c r="N76" s="130" t="s">
        <v>275</v>
      </c>
      <c r="O76" s="62">
        <v>-150000</v>
      </c>
      <c r="P76" s="62">
        <f t="shared" si="1"/>
        <v>273093.96283806488</v>
      </c>
    </row>
    <row r="77" spans="13:16" x14ac:dyDescent="0.35">
      <c r="M77" s="129">
        <v>63920</v>
      </c>
      <c r="N77" s="130" t="s">
        <v>276</v>
      </c>
      <c r="O77" s="62">
        <v>-150000</v>
      </c>
      <c r="P77" s="62">
        <f t="shared" si="1"/>
        <v>140845.07042253908</v>
      </c>
    </row>
    <row r="78" spans="13:16" x14ac:dyDescent="0.35">
      <c r="M78" s="129">
        <v>64285</v>
      </c>
      <c r="N78" s="130" t="s">
        <v>277</v>
      </c>
      <c r="O78" s="62">
        <v>-150000</v>
      </c>
      <c r="P78" s="62">
        <f t="shared" si="1"/>
        <v>4.1036400943994522E-9</v>
      </c>
    </row>
    <row r="79" spans="13:16" x14ac:dyDescent="0.35">
      <c r="M79" s="129"/>
    </row>
  </sheetData>
  <mergeCells count="1">
    <mergeCell ref="B14:K14"/>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94"/>
  <sheetViews>
    <sheetView topLeftCell="A81" zoomScale="115" zoomScaleNormal="115" workbookViewId="0">
      <selection activeCell="B86" sqref="B86"/>
    </sheetView>
  </sheetViews>
  <sheetFormatPr defaultRowHeight="14.5" x14ac:dyDescent="0.35"/>
  <cols>
    <col min="1" max="1" width="3.54296875" customWidth="1"/>
    <col min="2" max="2" width="5" customWidth="1"/>
    <col min="3" max="3" width="12.54296875" customWidth="1"/>
    <col min="4" max="4" width="16" customWidth="1"/>
    <col min="5" max="5" width="13.7265625" customWidth="1"/>
    <col min="6" max="6" width="10.1796875" customWidth="1"/>
    <col min="8" max="8" width="12.26953125" bestFit="1" customWidth="1"/>
    <col min="10" max="14" width="12.81640625" customWidth="1"/>
  </cols>
  <sheetData>
    <row r="2" spans="2:8" ht="23.5" x14ac:dyDescent="0.55000000000000004">
      <c r="B2" s="1" t="s">
        <v>110</v>
      </c>
    </row>
    <row r="3" spans="2:8" ht="23.5" x14ac:dyDescent="0.55000000000000004">
      <c r="B3" s="1"/>
    </row>
    <row r="4" spans="2:8" ht="23.5" x14ac:dyDescent="0.55000000000000004">
      <c r="B4" s="1"/>
    </row>
    <row r="5" spans="2:8" ht="23.5" x14ac:dyDescent="0.55000000000000004">
      <c r="B5" s="1"/>
    </row>
    <row r="6" spans="2:8" ht="23.5" x14ac:dyDescent="0.55000000000000004">
      <c r="B6" s="1"/>
    </row>
    <row r="7" spans="2:8" ht="23.5" x14ac:dyDescent="0.55000000000000004">
      <c r="B7" s="1"/>
    </row>
    <row r="10" spans="2:8" x14ac:dyDescent="0.35">
      <c r="H10" s="4"/>
    </row>
    <row r="11" spans="2:8" x14ac:dyDescent="0.35">
      <c r="B11" s="45" t="s">
        <v>0</v>
      </c>
      <c r="C11" t="s">
        <v>2</v>
      </c>
    </row>
    <row r="12" spans="2:8" x14ac:dyDescent="0.35">
      <c r="C12" t="s">
        <v>100</v>
      </c>
    </row>
    <row r="13" spans="2:8" x14ac:dyDescent="0.35">
      <c r="C13" t="s">
        <v>144</v>
      </c>
    </row>
    <row r="14" spans="2:8" x14ac:dyDescent="0.35">
      <c r="C14" t="s">
        <v>118</v>
      </c>
    </row>
    <row r="15" spans="2:8" ht="15" thickBot="1" x14ac:dyDescent="0.4"/>
    <row r="16" spans="2:8" ht="15" thickBot="1" x14ac:dyDescent="0.4">
      <c r="D16" s="70" t="s">
        <v>99</v>
      </c>
      <c r="E16" s="71" t="s">
        <v>4</v>
      </c>
      <c r="F16" s="68"/>
    </row>
    <row r="17" spans="3:10" x14ac:dyDescent="0.35">
      <c r="D17" s="72">
        <v>1</v>
      </c>
      <c r="E17" s="75">
        <v>0</v>
      </c>
      <c r="F17" s="68"/>
    </row>
    <row r="18" spans="3:10" x14ac:dyDescent="0.35">
      <c r="D18" s="74">
        <v>2</v>
      </c>
      <c r="E18" s="75">
        <v>0</v>
      </c>
      <c r="F18" s="68"/>
    </row>
    <row r="19" spans="3:10" ht="15" thickBot="1" x14ac:dyDescent="0.4">
      <c r="D19" s="74">
        <v>3</v>
      </c>
      <c r="E19" s="75">
        <v>0</v>
      </c>
      <c r="F19" s="68"/>
    </row>
    <row r="20" spans="3:10" ht="15" thickBot="1" x14ac:dyDescent="0.4">
      <c r="D20" s="74">
        <v>4</v>
      </c>
      <c r="E20" s="73">
        <v>3500</v>
      </c>
      <c r="F20" s="68" t="s">
        <v>5</v>
      </c>
    </row>
    <row r="21" spans="3:10" x14ac:dyDescent="0.35">
      <c r="D21" s="74">
        <v>5</v>
      </c>
      <c r="E21" s="75">
        <f>E20</f>
        <v>3500</v>
      </c>
      <c r="F21" s="68"/>
    </row>
    <row r="22" spans="3:10" x14ac:dyDescent="0.35">
      <c r="D22" s="74">
        <v>6</v>
      </c>
      <c r="E22" s="75">
        <f t="shared" ref="E22:E25" si="0">E21</f>
        <v>3500</v>
      </c>
      <c r="F22" s="68"/>
    </row>
    <row r="23" spans="3:10" x14ac:dyDescent="0.35">
      <c r="D23" s="74">
        <v>7</v>
      </c>
      <c r="E23" s="75">
        <f t="shared" si="0"/>
        <v>3500</v>
      </c>
      <c r="F23" s="68"/>
    </row>
    <row r="24" spans="3:10" x14ac:dyDescent="0.35">
      <c r="D24" s="74">
        <v>8</v>
      </c>
      <c r="E24" s="75">
        <f t="shared" si="0"/>
        <v>3500</v>
      </c>
      <c r="F24" s="68"/>
      <c r="J24" s="51"/>
    </row>
    <row r="25" spans="3:10" ht="15" thickBot="1" x14ac:dyDescent="0.4">
      <c r="D25" s="76">
        <v>9</v>
      </c>
      <c r="E25" s="75">
        <f t="shared" si="0"/>
        <v>3500</v>
      </c>
      <c r="F25" s="68"/>
    </row>
    <row r="26" spans="3:10" s="67" customFormat="1" ht="15" thickBot="1" x14ac:dyDescent="0.4">
      <c r="D26" s="69">
        <v>10</v>
      </c>
      <c r="E26" s="73">
        <v>6000</v>
      </c>
      <c r="F26" s="68" t="s">
        <v>5</v>
      </c>
    </row>
    <row r="28" spans="3:10" x14ac:dyDescent="0.35">
      <c r="C28" t="s">
        <v>101</v>
      </c>
      <c r="E28" s="3">
        <v>9.5000000000000001E-2</v>
      </c>
      <c r="I28" s="4"/>
    </row>
    <row r="30" spans="3:10" x14ac:dyDescent="0.35">
      <c r="C30" t="s">
        <v>102</v>
      </c>
    </row>
    <row r="31" spans="3:10" x14ac:dyDescent="0.35">
      <c r="C31" t="s">
        <v>103</v>
      </c>
    </row>
    <row r="32" spans="3:10" x14ac:dyDescent="0.35">
      <c r="C32" s="77" t="s">
        <v>145</v>
      </c>
    </row>
    <row r="33" spans="2:8" ht="15" thickBot="1" x14ac:dyDescent="0.4"/>
    <row r="34" spans="2:8" ht="15" thickBot="1" x14ac:dyDescent="0.4">
      <c r="C34" t="s">
        <v>104</v>
      </c>
      <c r="D34" s="120">
        <f>PV(E28,2,0,PV(E28,7,E20,E26-E20))</f>
        <v>15552.728135418663</v>
      </c>
      <c r="E34" s="121"/>
    </row>
    <row r="36" spans="2:8" x14ac:dyDescent="0.35">
      <c r="B36" s="81" t="s">
        <v>1</v>
      </c>
      <c r="C36" s="78" t="s">
        <v>146</v>
      </c>
      <c r="D36" s="78"/>
      <c r="E36" s="78"/>
      <c r="F36" s="78"/>
      <c r="G36" s="78"/>
      <c r="H36" s="78"/>
    </row>
    <row r="37" spans="2:8" s="77" customFormat="1" x14ac:dyDescent="0.35">
      <c r="B37" s="78"/>
      <c r="C37" s="83" t="s">
        <v>147</v>
      </c>
      <c r="D37" s="78"/>
      <c r="E37" s="78"/>
      <c r="F37" s="78"/>
      <c r="G37" s="78"/>
      <c r="H37" s="78"/>
    </row>
    <row r="38" spans="2:8" s="77" customFormat="1" x14ac:dyDescent="0.35">
      <c r="B38" s="78"/>
      <c r="C38" s="83" t="s">
        <v>148</v>
      </c>
      <c r="D38" s="78"/>
      <c r="E38" s="78"/>
      <c r="F38" s="78"/>
      <c r="G38" s="78"/>
      <c r="H38" s="78"/>
    </row>
    <row r="39" spans="2:8" s="77" customFormat="1" ht="15" thickBot="1" x14ac:dyDescent="0.4">
      <c r="B39" s="78"/>
      <c r="C39" s="78"/>
      <c r="D39" s="78"/>
      <c r="E39" s="78"/>
      <c r="F39" s="78"/>
      <c r="G39" s="78"/>
      <c r="H39" s="78"/>
    </row>
    <row r="40" spans="2:8" s="77" customFormat="1" ht="15" thickBot="1" x14ac:dyDescent="0.4">
      <c r="B40" s="78"/>
      <c r="C40" s="84" t="s">
        <v>149</v>
      </c>
      <c r="D40" s="78"/>
      <c r="E40" s="78"/>
      <c r="F40" s="85">
        <v>0.105</v>
      </c>
      <c r="G40" s="78"/>
      <c r="H40" s="78"/>
    </row>
    <row r="41" spans="2:8" s="77" customFormat="1" ht="15" thickBot="1" x14ac:dyDescent="0.4">
      <c r="B41" s="78"/>
      <c r="C41" s="78"/>
      <c r="D41" s="78"/>
      <c r="E41" s="79"/>
      <c r="F41" s="79"/>
      <c r="G41" s="78"/>
      <c r="H41" s="78"/>
    </row>
    <row r="42" spans="2:8" s="77" customFormat="1" ht="44" thickBot="1" x14ac:dyDescent="0.4">
      <c r="B42" s="78"/>
      <c r="C42" s="78"/>
      <c r="D42" s="78"/>
      <c r="E42" s="87" t="s">
        <v>150</v>
      </c>
      <c r="F42" s="87" t="s">
        <v>151</v>
      </c>
      <c r="G42" s="78"/>
      <c r="H42" s="78"/>
    </row>
    <row r="43" spans="2:8" s="77" customFormat="1" x14ac:dyDescent="0.35">
      <c r="B43" s="78"/>
      <c r="C43" s="78"/>
      <c r="D43" s="78"/>
      <c r="E43" s="80" t="s">
        <v>87</v>
      </c>
      <c r="F43" s="86">
        <f>FV(F40/4,4,0,-1)-1</f>
        <v>0.10920720136962947</v>
      </c>
      <c r="G43" s="78"/>
      <c r="H43" s="78"/>
    </row>
    <row r="44" spans="2:8" s="77" customFormat="1" x14ac:dyDescent="0.35">
      <c r="B44" s="78"/>
      <c r="C44" s="78"/>
      <c r="D44" s="78"/>
      <c r="E44" s="80" t="s">
        <v>88</v>
      </c>
      <c r="F44" s="86">
        <f>FV(F40/12,12,0,-1)-1</f>
        <v>0.11020345045182389</v>
      </c>
      <c r="G44" s="78"/>
      <c r="H44" s="78"/>
    </row>
    <row r="45" spans="2:8" s="77" customFormat="1" ht="15" thickBot="1" x14ac:dyDescent="0.4">
      <c r="B45" s="78"/>
      <c r="C45" s="78"/>
      <c r="D45" s="78"/>
      <c r="E45" s="80" t="s">
        <v>152</v>
      </c>
      <c r="F45" s="86">
        <f>FV(F40/365,365,0,-1)-1</f>
        <v>0.1106938389254597</v>
      </c>
      <c r="G45" s="78"/>
      <c r="H45" s="78"/>
    </row>
    <row r="46" spans="2:8" s="77" customFormat="1" ht="15" thickBot="1" x14ac:dyDescent="0.4">
      <c r="B46" s="78"/>
      <c r="C46" s="78"/>
      <c r="D46" s="78"/>
      <c r="E46" s="88" t="s">
        <v>153</v>
      </c>
      <c r="F46" s="82">
        <f>EXP(F40)-1</f>
        <v>0.11071061035570517</v>
      </c>
      <c r="G46" s="78"/>
      <c r="H46" s="78"/>
    </row>
    <row r="47" spans="2:8" s="77" customFormat="1" x14ac:dyDescent="0.35"/>
    <row r="48" spans="2:8" s="77" customFormat="1" x14ac:dyDescent="0.35"/>
    <row r="49" spans="2:15" x14ac:dyDescent="0.35">
      <c r="B49" s="64" t="s">
        <v>6</v>
      </c>
      <c r="C49" t="s">
        <v>82</v>
      </c>
    </row>
    <row r="50" spans="2:15" x14ac:dyDescent="0.35">
      <c r="B50" s="90"/>
      <c r="C50" s="89"/>
      <c r="D50" s="89"/>
      <c r="E50" s="89"/>
      <c r="F50" s="89"/>
      <c r="G50" s="89"/>
      <c r="H50" s="89"/>
      <c r="I50" s="89"/>
      <c r="J50" s="89"/>
      <c r="K50" s="89"/>
      <c r="L50" s="89"/>
      <c r="M50" s="89"/>
      <c r="N50" s="89"/>
    </row>
    <row r="51" spans="2:15" s="89" customFormat="1" x14ac:dyDescent="0.35">
      <c r="B51" s="93" t="s">
        <v>83</v>
      </c>
      <c r="D51" s="93"/>
      <c r="E51" s="93"/>
      <c r="F51" s="93"/>
      <c r="G51" s="93"/>
      <c r="H51" s="93"/>
      <c r="I51" s="93"/>
      <c r="J51" s="93"/>
      <c r="K51" s="93"/>
      <c r="L51" s="93"/>
      <c r="M51" s="91"/>
      <c r="N51" s="91"/>
      <c r="O51" s="91"/>
    </row>
    <row r="52" spans="2:15" s="89" customFormat="1" x14ac:dyDescent="0.35">
      <c r="B52" s="92"/>
      <c r="C52" s="93"/>
      <c r="D52" s="93"/>
      <c r="E52" s="93"/>
      <c r="F52" s="93"/>
      <c r="G52" s="93"/>
      <c r="H52" s="93"/>
      <c r="I52" s="93"/>
      <c r="J52" s="93"/>
      <c r="K52" s="93"/>
      <c r="L52" s="93"/>
      <c r="M52" s="91"/>
      <c r="N52" s="91"/>
      <c r="O52" s="91"/>
    </row>
    <row r="53" spans="2:15" s="89" customFormat="1" x14ac:dyDescent="0.35">
      <c r="B53" s="92"/>
      <c r="C53" s="93"/>
      <c r="D53" s="93"/>
      <c r="E53" s="93"/>
      <c r="F53" s="93"/>
      <c r="G53" s="93"/>
      <c r="H53" s="93"/>
      <c r="I53" s="93"/>
      <c r="J53" s="93"/>
      <c r="K53" s="93"/>
      <c r="L53" s="93"/>
      <c r="M53" s="91"/>
      <c r="N53" s="91"/>
      <c r="O53" s="91"/>
    </row>
    <row r="54" spans="2:15" s="89" customFormat="1" x14ac:dyDescent="0.35">
      <c r="B54" s="92"/>
      <c r="C54" s="93"/>
      <c r="D54" s="93"/>
      <c r="E54" s="93"/>
      <c r="F54" s="93"/>
      <c r="G54" s="93"/>
      <c r="H54" s="93"/>
      <c r="I54" s="93"/>
      <c r="J54" s="93"/>
      <c r="K54" s="93"/>
      <c r="L54" s="93"/>
      <c r="M54" s="91"/>
      <c r="N54" s="91"/>
      <c r="O54" s="91"/>
    </row>
    <row r="55" spans="2:15" x14ac:dyDescent="0.35">
      <c r="B55" s="91"/>
      <c r="C55" s="93"/>
      <c r="D55" s="93"/>
      <c r="E55" s="93"/>
      <c r="F55" s="93"/>
      <c r="G55" s="93"/>
      <c r="H55" s="93"/>
      <c r="I55" s="93"/>
      <c r="J55" s="93"/>
      <c r="K55" s="93"/>
      <c r="L55" s="93"/>
      <c r="M55" s="91"/>
      <c r="N55" s="91"/>
      <c r="O55" s="91"/>
    </row>
    <row r="56" spans="2:15" x14ac:dyDescent="0.35">
      <c r="C56" s="95" t="s">
        <v>156</v>
      </c>
    </row>
    <row r="57" spans="2:15" x14ac:dyDescent="0.35">
      <c r="C57" s="95" t="s">
        <v>85</v>
      </c>
    </row>
    <row r="58" spans="2:15" x14ac:dyDescent="0.35">
      <c r="C58" s="95" t="s">
        <v>84</v>
      </c>
      <c r="L58" s="4"/>
    </row>
    <row r="59" spans="2:15" x14ac:dyDescent="0.35">
      <c r="C59" s="95" t="s">
        <v>94</v>
      </c>
    </row>
    <row r="60" spans="2:15" x14ac:dyDescent="0.35">
      <c r="C60" s="95" t="s">
        <v>157</v>
      </c>
    </row>
    <row r="61" spans="2:15" s="93" customFormat="1" x14ac:dyDescent="0.35">
      <c r="C61" s="96" t="s">
        <v>158</v>
      </c>
    </row>
    <row r="62" spans="2:15" s="93" customFormat="1" x14ac:dyDescent="0.35">
      <c r="C62" s="94"/>
    </row>
    <row r="64" spans="2:15" x14ac:dyDescent="0.35">
      <c r="C64" t="s">
        <v>154</v>
      </c>
      <c r="E64" s="4">
        <f>PV(0.1,2,-500)</f>
        <v>867.7685950413229</v>
      </c>
    </row>
    <row r="65" spans="2:14" x14ac:dyDescent="0.35">
      <c r="C65" t="s">
        <v>155</v>
      </c>
      <c r="E65" s="4">
        <f>PV(0.1,5,0,PV(0.1,3,500,1250))</f>
        <v>1355.2039395092754</v>
      </c>
    </row>
    <row r="66" spans="2:14" x14ac:dyDescent="0.35">
      <c r="C66" t="s">
        <v>105</v>
      </c>
      <c r="E66" s="4">
        <f>E64+E65</f>
        <v>2222.9725345505985</v>
      </c>
    </row>
    <row r="67" spans="2:14" x14ac:dyDescent="0.35">
      <c r="C67" t="s">
        <v>106</v>
      </c>
      <c r="E67" s="4">
        <f>3000-E66</f>
        <v>777.02746544940146</v>
      </c>
    </row>
    <row r="68" spans="2:14" ht="15" thickBot="1" x14ac:dyDescent="0.4">
      <c r="C68" t="s">
        <v>159</v>
      </c>
      <c r="E68" s="4">
        <f>FV(0.1,2,0,-E67)</f>
        <v>940.20323319377587</v>
      </c>
    </row>
    <row r="69" spans="2:14" ht="15" thickBot="1" x14ac:dyDescent="0.4">
      <c r="C69" t="s">
        <v>107</v>
      </c>
      <c r="E69" s="4">
        <f>PMT(0.1,3,-E68)</f>
        <v>378.06963848366041</v>
      </c>
      <c r="F69" t="s">
        <v>108</v>
      </c>
      <c r="H69" s="55">
        <f>PMT(0.1,3,FV(0.1,2,0,3000-PV(0.1,8,-500,-1250)))+500</f>
        <v>378.06963848366013</v>
      </c>
    </row>
    <row r="70" spans="2:14" x14ac:dyDescent="0.35">
      <c r="F70" s="45"/>
    </row>
    <row r="71" spans="2:14" x14ac:dyDescent="0.35">
      <c r="B71" s="64" t="s">
        <v>7</v>
      </c>
      <c r="C71" t="s">
        <v>21</v>
      </c>
    </row>
    <row r="72" spans="2:14" ht="17.5" x14ac:dyDescent="0.65">
      <c r="C72" t="s">
        <v>160</v>
      </c>
      <c r="I72" s="18" t="s">
        <v>3</v>
      </c>
      <c r="J72" s="18" t="s">
        <v>18</v>
      </c>
      <c r="K72" s="18" t="s">
        <v>19</v>
      </c>
      <c r="L72" s="18" t="s">
        <v>31</v>
      </c>
      <c r="M72" s="18" t="s">
        <v>20</v>
      </c>
      <c r="N72" s="18"/>
    </row>
    <row r="73" spans="2:14" x14ac:dyDescent="0.35">
      <c r="C73" t="s">
        <v>109</v>
      </c>
      <c r="I73" s="17">
        <v>1</v>
      </c>
      <c r="J73">
        <v>2500</v>
      </c>
      <c r="K73">
        <v>1800</v>
      </c>
      <c r="L73">
        <v>300</v>
      </c>
      <c r="M73">
        <v>125</v>
      </c>
    </row>
    <row r="74" spans="2:14" ht="15" thickBot="1" x14ac:dyDescent="0.4">
      <c r="I74" s="17">
        <v>2</v>
      </c>
      <c r="J74">
        <v>3000</v>
      </c>
      <c r="K74">
        <v>2200</v>
      </c>
      <c r="L74">
        <v>315</v>
      </c>
      <c r="M74">
        <v>150</v>
      </c>
    </row>
    <row r="75" spans="2:14" ht="15" thickBot="1" x14ac:dyDescent="0.4">
      <c r="C75" s="7" t="s">
        <v>22</v>
      </c>
      <c r="E75" s="19">
        <v>7</v>
      </c>
      <c r="I75" s="17">
        <v>3</v>
      </c>
      <c r="J75">
        <v>3250</v>
      </c>
      <c r="K75">
        <v>2400</v>
      </c>
      <c r="L75">
        <v>325</v>
      </c>
      <c r="M75">
        <v>162</v>
      </c>
    </row>
    <row r="76" spans="2:14" ht="15" thickBot="1" x14ac:dyDescent="0.4">
      <c r="C76" s="16"/>
      <c r="I76" s="17">
        <v>4</v>
      </c>
      <c r="J76">
        <v>4000</v>
      </c>
      <c r="K76">
        <v>3100</v>
      </c>
      <c r="L76">
        <v>400</v>
      </c>
      <c r="M76">
        <v>200</v>
      </c>
    </row>
    <row r="77" spans="2:14" ht="15" thickBot="1" x14ac:dyDescent="0.4">
      <c r="C77" s="7" t="s">
        <v>31</v>
      </c>
      <c r="E77" s="20">
        <f>VLOOKUP(E75,I73:M82,4)</f>
        <v>500</v>
      </c>
      <c r="I77" s="17">
        <v>5</v>
      </c>
      <c r="J77">
        <v>4500</v>
      </c>
      <c r="K77">
        <v>3300</v>
      </c>
      <c r="L77">
        <v>430</v>
      </c>
      <c r="M77">
        <v>225</v>
      </c>
    </row>
    <row r="78" spans="2:14" x14ac:dyDescent="0.35">
      <c r="I78" s="17">
        <v>6</v>
      </c>
      <c r="J78">
        <v>5200</v>
      </c>
      <c r="K78">
        <v>3900</v>
      </c>
      <c r="L78">
        <v>450</v>
      </c>
      <c r="M78">
        <v>260</v>
      </c>
    </row>
    <row r="79" spans="2:14" x14ac:dyDescent="0.35">
      <c r="I79" s="17">
        <v>7</v>
      </c>
      <c r="J79">
        <v>5900</v>
      </c>
      <c r="K79">
        <v>4400</v>
      </c>
      <c r="L79">
        <v>500</v>
      </c>
      <c r="M79">
        <v>295</v>
      </c>
    </row>
    <row r="80" spans="2:14" x14ac:dyDescent="0.35">
      <c r="I80" s="17">
        <v>8</v>
      </c>
      <c r="J80">
        <v>6500</v>
      </c>
      <c r="K80">
        <v>4800</v>
      </c>
      <c r="L80">
        <v>550</v>
      </c>
      <c r="M80">
        <v>325</v>
      </c>
    </row>
    <row r="81" spans="2:13" x14ac:dyDescent="0.35">
      <c r="I81" s="17">
        <v>9</v>
      </c>
      <c r="J81">
        <v>8000</v>
      </c>
      <c r="K81">
        <v>6000</v>
      </c>
      <c r="L81">
        <v>590</v>
      </c>
      <c r="M81">
        <v>400</v>
      </c>
    </row>
    <row r="82" spans="2:13" x14ac:dyDescent="0.35">
      <c r="I82" s="17">
        <v>10</v>
      </c>
      <c r="J82">
        <v>9250</v>
      </c>
      <c r="K82">
        <v>6900</v>
      </c>
      <c r="L82">
        <v>700</v>
      </c>
      <c r="M82">
        <v>475</v>
      </c>
    </row>
    <row r="84" spans="2:13" x14ac:dyDescent="0.35">
      <c r="C84" t="s">
        <v>17</v>
      </c>
    </row>
    <row r="85" spans="2:13" x14ac:dyDescent="0.35">
      <c r="B85" s="92" t="s">
        <v>175</v>
      </c>
      <c r="C85" t="s">
        <v>161</v>
      </c>
    </row>
    <row r="86" spans="2:13" ht="15" thickBot="1" x14ac:dyDescent="0.4"/>
    <row r="87" spans="2:13" ht="15" thickBot="1" x14ac:dyDescent="0.4">
      <c r="C87" s="97" t="s">
        <v>3</v>
      </c>
      <c r="D87" s="98" t="s">
        <v>18</v>
      </c>
    </row>
    <row r="88" spans="2:13" x14ac:dyDescent="0.35">
      <c r="C88" s="99">
        <v>2005</v>
      </c>
      <c r="D88" s="104">
        <v>1685000</v>
      </c>
    </row>
    <row r="89" spans="2:13" x14ac:dyDescent="0.35">
      <c r="C89" s="100">
        <v>2006</v>
      </c>
      <c r="D89" s="105">
        <v>1925000</v>
      </c>
    </row>
    <row r="90" spans="2:13" x14ac:dyDescent="0.35">
      <c r="C90" s="100">
        <v>2007</v>
      </c>
      <c r="D90" s="105">
        <v>2542000</v>
      </c>
    </row>
    <row r="91" spans="2:13" x14ac:dyDescent="0.35">
      <c r="C91" s="100">
        <v>2008</v>
      </c>
      <c r="D91" s="105">
        <v>2246000</v>
      </c>
    </row>
    <row r="92" spans="2:13" x14ac:dyDescent="0.35">
      <c r="C92" s="100">
        <v>2009</v>
      </c>
      <c r="D92" s="105">
        <v>2845000</v>
      </c>
    </row>
    <row r="93" spans="2:13" x14ac:dyDescent="0.35">
      <c r="C93" s="100">
        <v>2010</v>
      </c>
      <c r="D93" s="105">
        <v>3625000</v>
      </c>
    </row>
    <row r="94" spans="2:13" ht="15" thickBot="1" x14ac:dyDescent="0.4">
      <c r="C94" s="101">
        <v>2011</v>
      </c>
      <c r="D94" s="102">
        <f>TREND(D88:D93,C88:C93,C94)</f>
        <v>3694400</v>
      </c>
    </row>
  </sheetData>
  <mergeCells count="1">
    <mergeCell ref="D34:E34"/>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topLeftCell="A32" zoomScale="115" zoomScaleNormal="115" workbookViewId="0">
      <selection activeCell="L43" sqref="L43"/>
    </sheetView>
  </sheetViews>
  <sheetFormatPr defaultColWidth="8.7265625" defaultRowHeight="14.5" x14ac:dyDescent="0.35"/>
  <cols>
    <col min="1" max="1" width="6.1796875" style="22" customWidth="1"/>
    <col min="2" max="2" width="4" style="21" customWidth="1"/>
    <col min="3" max="3" width="30.7265625" style="21" customWidth="1"/>
    <col min="4" max="4" width="17" style="22" customWidth="1"/>
    <col min="5" max="6" width="14.54296875" style="22" customWidth="1"/>
    <col min="7" max="7" width="4.08984375" style="22" customWidth="1"/>
    <col min="8" max="16384" width="8.7265625" style="22"/>
  </cols>
  <sheetData>
    <row r="24" spans="3:6" ht="15" thickBot="1" x14ac:dyDescent="0.4"/>
    <row r="25" spans="3:6" ht="19.5" customHeight="1" thickBot="1" x14ac:dyDescent="0.4">
      <c r="C25" s="123" t="s">
        <v>64</v>
      </c>
      <c r="D25" s="124"/>
      <c r="E25" s="124"/>
      <c r="F25" s="124"/>
    </row>
    <row r="26" spans="3:6" ht="16" customHeight="1" x14ac:dyDescent="0.35">
      <c r="C26" s="38" t="s">
        <v>111</v>
      </c>
      <c r="F26" s="42">
        <v>-0.05</v>
      </c>
    </row>
    <row r="27" spans="3:6" x14ac:dyDescent="0.35">
      <c r="C27" s="38" t="s">
        <v>63</v>
      </c>
      <c r="F27" s="42">
        <v>4.4999999999999998E-2</v>
      </c>
    </row>
    <row r="28" spans="3:6" x14ac:dyDescent="0.35">
      <c r="C28" s="38" t="s">
        <v>62</v>
      </c>
      <c r="F28" s="42">
        <v>7.7499999999999999E-2</v>
      </c>
    </row>
    <row r="29" spans="3:6" x14ac:dyDescent="0.35">
      <c r="C29" s="38" t="s">
        <v>112</v>
      </c>
      <c r="F29" s="41">
        <v>0.35</v>
      </c>
    </row>
    <row r="30" spans="3:6" x14ac:dyDescent="0.35">
      <c r="C30" s="38" t="s">
        <v>113</v>
      </c>
      <c r="F30" s="37">
        <v>15000</v>
      </c>
    </row>
    <row r="31" spans="3:6" x14ac:dyDescent="0.35">
      <c r="C31" s="38" t="s">
        <v>114</v>
      </c>
      <c r="F31" s="37">
        <v>50000</v>
      </c>
    </row>
    <row r="32" spans="3:6" x14ac:dyDescent="0.35">
      <c r="C32" s="38" t="s">
        <v>115</v>
      </c>
      <c r="F32" s="37">
        <v>17500</v>
      </c>
    </row>
    <row r="33" spans="3:12" ht="7.5" customHeight="1" thickBot="1" x14ac:dyDescent="0.4">
      <c r="C33" s="39"/>
      <c r="D33" s="26"/>
      <c r="E33" s="26"/>
      <c r="F33" s="40"/>
    </row>
    <row r="34" spans="3:12" x14ac:dyDescent="0.35">
      <c r="C34" s="38"/>
      <c r="F34" s="37"/>
    </row>
    <row r="35" spans="3:12" ht="21.5" thickBot="1" x14ac:dyDescent="0.55000000000000004">
      <c r="C35" s="122" t="s">
        <v>23</v>
      </c>
      <c r="D35" s="122"/>
      <c r="E35" s="122"/>
      <c r="F35" s="122"/>
    </row>
    <row r="36" spans="3:12" ht="19.5" customHeight="1" thickBot="1" x14ac:dyDescent="0.4">
      <c r="C36" s="32"/>
      <c r="D36" s="57" t="s">
        <v>24</v>
      </c>
      <c r="E36" s="57" t="s">
        <v>25</v>
      </c>
      <c r="F36" s="57" t="s">
        <v>116</v>
      </c>
    </row>
    <row r="37" spans="3:12" ht="17.25" customHeight="1" x14ac:dyDescent="0.35">
      <c r="C37" s="33" t="s">
        <v>18</v>
      </c>
      <c r="D37" s="22">
        <v>3514000</v>
      </c>
      <c r="E37" s="22">
        <v>3795120.0000000005</v>
      </c>
      <c r="F37" s="47">
        <f>E37*(1+F26)</f>
        <v>3605364.0000000005</v>
      </c>
    </row>
    <row r="38" spans="3:12" ht="17" x14ac:dyDescent="0.6">
      <c r="C38" s="36" t="s">
        <v>26</v>
      </c>
      <c r="D38" s="24">
        <v>2284100</v>
      </c>
      <c r="E38" s="24">
        <v>2656584</v>
      </c>
      <c r="F38" s="24">
        <f>$F$37*J38*1.2</f>
        <v>2920344.8400000008</v>
      </c>
      <c r="H38" s="54">
        <f>D38/D$37</f>
        <v>0.65</v>
      </c>
      <c r="I38" s="54">
        <f>E38/E$37</f>
        <v>0.7</v>
      </c>
      <c r="J38" s="56">
        <f>AVERAGE(H38:I38)</f>
        <v>0.67500000000000004</v>
      </c>
      <c r="L38"/>
    </row>
    <row r="39" spans="3:12" x14ac:dyDescent="0.35">
      <c r="C39" s="34" t="s">
        <v>27</v>
      </c>
      <c r="D39" s="22">
        <f>D37-D38</f>
        <v>1229900</v>
      </c>
      <c r="E39" s="22">
        <f>E37-E38</f>
        <v>1138536.0000000005</v>
      </c>
      <c r="F39" s="22">
        <f>F37-F38</f>
        <v>685019.15999999968</v>
      </c>
    </row>
    <row r="40" spans="3:12" x14ac:dyDescent="0.35">
      <c r="C40" s="33" t="s">
        <v>28</v>
      </c>
      <c r="D40" s="22">
        <v>350000</v>
      </c>
      <c r="E40" s="22">
        <v>325000</v>
      </c>
      <c r="F40" s="22">
        <f>$F$37*J40</f>
        <v>333925</v>
      </c>
      <c r="G40" s="25"/>
      <c r="H40" s="54">
        <f>D40/D$37</f>
        <v>9.9601593625498003E-2</v>
      </c>
      <c r="I40" s="54">
        <f>E40/E$37</f>
        <v>8.5636290815573668E-2</v>
      </c>
      <c r="J40" s="56">
        <f>AVERAGE(H40:I40)</f>
        <v>9.2618942220535835E-2</v>
      </c>
    </row>
    <row r="41" spans="3:12" x14ac:dyDescent="0.35">
      <c r="C41" s="33" t="s">
        <v>29</v>
      </c>
      <c r="D41" s="22">
        <v>120000</v>
      </c>
      <c r="E41" s="22">
        <v>125000</v>
      </c>
      <c r="F41" s="66">
        <v>120000</v>
      </c>
    </row>
    <row r="42" spans="3:12" ht="17" x14ac:dyDescent="0.6">
      <c r="C42" s="36" t="s">
        <v>30</v>
      </c>
      <c r="D42" s="24">
        <v>30000</v>
      </c>
      <c r="E42" s="24">
        <v>32500</v>
      </c>
      <c r="F42" s="24">
        <f>E42+F32</f>
        <v>50000</v>
      </c>
    </row>
    <row r="43" spans="3:12" x14ac:dyDescent="0.35">
      <c r="C43" s="34" t="s">
        <v>31</v>
      </c>
      <c r="D43" s="22">
        <f>D39-D40-D41-D42</f>
        <v>729900</v>
      </c>
      <c r="E43" s="22">
        <f>E39-E40-E41-E42</f>
        <v>656036.00000000047</v>
      </c>
      <c r="F43" s="22">
        <f>F39-F40-F41-F42</f>
        <v>181094.15999999968</v>
      </c>
    </row>
    <row r="44" spans="3:12" ht="17" x14ac:dyDescent="0.6">
      <c r="C44" s="36" t="s">
        <v>32</v>
      </c>
      <c r="D44" s="24">
        <v>56000</v>
      </c>
      <c r="E44" s="24">
        <v>62900</v>
      </c>
      <c r="F44" s="24">
        <f>F27*E61+F28*E64</f>
        <v>48200</v>
      </c>
    </row>
    <row r="45" spans="3:12" x14ac:dyDescent="0.35">
      <c r="C45" s="34" t="s">
        <v>33</v>
      </c>
      <c r="D45" s="22">
        <f>D43-D44</f>
        <v>673900</v>
      </c>
      <c r="E45" s="22">
        <f>E43-E44</f>
        <v>593136.00000000047</v>
      </c>
      <c r="F45" s="22">
        <f>F43-F44</f>
        <v>132894.15999999968</v>
      </c>
    </row>
    <row r="46" spans="3:12" ht="17" x14ac:dyDescent="0.6">
      <c r="C46" s="36" t="s">
        <v>34</v>
      </c>
      <c r="D46" s="24">
        <v>235800</v>
      </c>
      <c r="E46" s="24">
        <v>207600</v>
      </c>
      <c r="F46" s="24">
        <f>F45*F29</f>
        <v>46512.955999999889</v>
      </c>
    </row>
    <row r="47" spans="3:12" ht="15" thickBot="1" x14ac:dyDescent="0.4">
      <c r="C47" s="35" t="s">
        <v>20</v>
      </c>
      <c r="D47" s="26">
        <f>D45-D46</f>
        <v>438100</v>
      </c>
      <c r="E47" s="26">
        <f>E45-E46</f>
        <v>385536.00000000047</v>
      </c>
      <c r="F47" s="26">
        <f>F45-F46</f>
        <v>86381.203999999794</v>
      </c>
    </row>
    <row r="48" spans="3:12" ht="7.5" customHeight="1" x14ac:dyDescent="0.35">
      <c r="C48" s="16"/>
      <c r="D48"/>
      <c r="E48"/>
      <c r="F48"/>
    </row>
    <row r="49" spans="2:10" ht="21.5" thickBot="1" x14ac:dyDescent="0.55000000000000004">
      <c r="B49" s="122" t="s">
        <v>35</v>
      </c>
      <c r="C49" s="122"/>
      <c r="D49" s="122"/>
      <c r="E49" s="122"/>
      <c r="F49" s="122"/>
    </row>
    <row r="50" spans="2:10" ht="15" thickBot="1" x14ac:dyDescent="0.4">
      <c r="B50" s="27" t="s">
        <v>36</v>
      </c>
      <c r="C50" s="27"/>
      <c r="D50" s="57" t="s">
        <v>24</v>
      </c>
      <c r="E50" s="57" t="s">
        <v>25</v>
      </c>
      <c r="F50" s="57" t="s">
        <v>116</v>
      </c>
    </row>
    <row r="51" spans="2:10" x14ac:dyDescent="0.35">
      <c r="B51" s="28" t="s">
        <v>37</v>
      </c>
      <c r="D51" s="22">
        <v>52000</v>
      </c>
      <c r="E51" s="22">
        <v>98036.000000000466</v>
      </c>
      <c r="F51" s="66">
        <v>98036</v>
      </c>
    </row>
    <row r="52" spans="2:10" x14ac:dyDescent="0.35">
      <c r="B52" s="28" t="s">
        <v>38</v>
      </c>
      <c r="D52" s="22">
        <v>406000</v>
      </c>
      <c r="E52" s="22">
        <v>520000</v>
      </c>
      <c r="F52" s="22">
        <f>$F$37*J52</f>
        <v>455278.00000000006</v>
      </c>
      <c r="H52" s="54">
        <f>D52/D$37</f>
        <v>0.11553784860557768</v>
      </c>
      <c r="I52" s="54">
        <f>E52/E$37</f>
        <v>0.13701806530491789</v>
      </c>
      <c r="J52" s="56">
        <f>AVERAGE(H52:I52)</f>
        <v>0.12627795695524779</v>
      </c>
    </row>
    <row r="53" spans="2:10" ht="16" x14ac:dyDescent="0.5">
      <c r="B53" s="28" t="s">
        <v>39</v>
      </c>
      <c r="D53" s="24">
        <v>854000</v>
      </c>
      <c r="E53" s="24">
        <v>875000</v>
      </c>
      <c r="F53" s="103">
        <f>$F$37*J53</f>
        <v>853727</v>
      </c>
      <c r="H53" s="54">
        <f>D53/D$37</f>
        <v>0.24302788844621515</v>
      </c>
      <c r="I53" s="54">
        <f>E53/E$37</f>
        <v>0.23055924450346757</v>
      </c>
      <c r="J53" s="56">
        <f>AVERAGE(H53:I53)</f>
        <v>0.23679356647484134</v>
      </c>
    </row>
    <row r="54" spans="2:10" x14ac:dyDescent="0.35">
      <c r="B54" s="29" t="s">
        <v>40</v>
      </c>
      <c r="D54" s="22">
        <f>D51+D52+D53</f>
        <v>1312000</v>
      </c>
      <c r="E54" s="22">
        <f>E51+E52+E53</f>
        <v>1493036.0000000005</v>
      </c>
      <c r="F54" s="22">
        <f>SUM(F51:F53)</f>
        <v>1407041</v>
      </c>
    </row>
    <row r="55" spans="2:10" x14ac:dyDescent="0.35">
      <c r="B55" s="28" t="s">
        <v>41</v>
      </c>
      <c r="D55" s="22">
        <v>429000</v>
      </c>
      <c r="E55" s="22">
        <v>580000</v>
      </c>
      <c r="F55" s="22">
        <f>E55+F31</f>
        <v>630000</v>
      </c>
    </row>
    <row r="56" spans="2:10" ht="16" x14ac:dyDescent="0.5">
      <c r="B56" s="28" t="s">
        <v>42</v>
      </c>
      <c r="D56" s="24">
        <v>126000</v>
      </c>
      <c r="E56" s="24">
        <v>158500</v>
      </c>
      <c r="F56" s="24">
        <f>E56+F42</f>
        <v>208500</v>
      </c>
    </row>
    <row r="57" spans="2:10" ht="16" x14ac:dyDescent="0.5">
      <c r="B57" s="29" t="s">
        <v>43</v>
      </c>
      <c r="D57" s="24">
        <f>D55-D56</f>
        <v>303000</v>
      </c>
      <c r="E57" s="24">
        <f>E55-E56</f>
        <v>421500</v>
      </c>
      <c r="F57" s="24">
        <f>F55-F56</f>
        <v>421500</v>
      </c>
    </row>
    <row r="58" spans="2:10" ht="15" thickBot="1" x14ac:dyDescent="0.4">
      <c r="B58" s="29" t="s">
        <v>44</v>
      </c>
      <c r="D58" s="22">
        <f>D54+D57</f>
        <v>1615000</v>
      </c>
      <c r="E58" s="22">
        <f>E54+E57</f>
        <v>1914536.0000000005</v>
      </c>
      <c r="F58" s="22">
        <f>F54+F57</f>
        <v>1828541</v>
      </c>
    </row>
    <row r="59" spans="2:10" ht="16" customHeight="1" x14ac:dyDescent="0.35">
      <c r="B59" s="27" t="s">
        <v>45</v>
      </c>
      <c r="C59" s="27"/>
      <c r="D59" s="23"/>
      <c r="E59" s="23"/>
      <c r="F59" s="23"/>
    </row>
    <row r="60" spans="2:10" x14ac:dyDescent="0.35">
      <c r="B60" s="28" t="s">
        <v>46</v>
      </c>
      <c r="D60" s="22">
        <v>130000</v>
      </c>
      <c r="E60" s="22">
        <v>180000</v>
      </c>
      <c r="F60" s="22">
        <f>$F$37*J60</f>
        <v>152190</v>
      </c>
      <c r="H60" s="54">
        <f>D60/D$37</f>
        <v>3.6994877632327831E-2</v>
      </c>
      <c r="I60" s="54">
        <f>E60/E$37</f>
        <v>4.742933029785619E-2</v>
      </c>
      <c r="J60" s="56">
        <f>AVERAGE(H60:I60)</f>
        <v>4.2212103965092007E-2</v>
      </c>
    </row>
    <row r="61" spans="2:10" x14ac:dyDescent="0.35">
      <c r="B61" s="28" t="s">
        <v>47</v>
      </c>
      <c r="D61" s="22">
        <v>179000</v>
      </c>
      <c r="E61" s="22">
        <v>210000</v>
      </c>
      <c r="F61" s="66">
        <v>210000</v>
      </c>
    </row>
    <row r="62" spans="2:10" ht="16" x14ac:dyDescent="0.5">
      <c r="B62" s="28" t="s">
        <v>48</v>
      </c>
      <c r="D62" s="24">
        <v>118000</v>
      </c>
      <c r="E62" s="24">
        <v>85000</v>
      </c>
      <c r="F62" s="60">
        <v>62500</v>
      </c>
    </row>
    <row r="63" spans="2:10" x14ac:dyDescent="0.35">
      <c r="B63" s="29" t="s">
        <v>49</v>
      </c>
      <c r="D63" s="22">
        <f>D60+D61+D62</f>
        <v>427000</v>
      </c>
      <c r="E63" s="22">
        <f>E60+E61+E62</f>
        <v>475000</v>
      </c>
      <c r="F63" s="22">
        <f>SUM(F60:F62)</f>
        <v>424690</v>
      </c>
    </row>
    <row r="64" spans="2:10" ht="16" x14ac:dyDescent="0.5">
      <c r="B64" s="28" t="s">
        <v>50</v>
      </c>
      <c r="D64" s="24">
        <v>614000</v>
      </c>
      <c r="E64" s="24">
        <v>500000</v>
      </c>
      <c r="F64" s="60">
        <v>450000</v>
      </c>
    </row>
    <row r="65" spans="2:6" x14ac:dyDescent="0.35">
      <c r="B65" s="29" t="s">
        <v>51</v>
      </c>
      <c r="D65" s="22">
        <f>D63+D64</f>
        <v>1041000</v>
      </c>
      <c r="E65" s="22">
        <f>E63+E64</f>
        <v>975000</v>
      </c>
      <c r="F65" s="22">
        <f>F63+F64</f>
        <v>874690</v>
      </c>
    </row>
    <row r="66" spans="2:6" x14ac:dyDescent="0.35">
      <c r="B66" s="28" t="s">
        <v>52</v>
      </c>
      <c r="D66" s="22">
        <v>395000</v>
      </c>
      <c r="E66" s="22">
        <v>395000</v>
      </c>
      <c r="F66" s="66">
        <v>395000</v>
      </c>
    </row>
    <row r="67" spans="2:6" ht="16" x14ac:dyDescent="0.5">
      <c r="B67" s="28" t="s">
        <v>53</v>
      </c>
      <c r="D67" s="24">
        <v>179000</v>
      </c>
      <c r="E67" s="24">
        <v>544536.00000000047</v>
      </c>
      <c r="F67" s="24">
        <f>E67+F47-F30</f>
        <v>615917.20400000026</v>
      </c>
    </row>
    <row r="68" spans="2:6" ht="16" x14ac:dyDescent="0.5">
      <c r="B68" s="29" t="s">
        <v>54</v>
      </c>
      <c r="D68" s="24">
        <f>D66+D67</f>
        <v>574000</v>
      </c>
      <c r="E68" s="24">
        <f>E66+E67</f>
        <v>939536.00000000047</v>
      </c>
      <c r="F68" s="24">
        <f>F66+F67</f>
        <v>1010917.2040000003</v>
      </c>
    </row>
    <row r="69" spans="2:6" ht="15" thickBot="1" x14ac:dyDescent="0.4">
      <c r="B69" s="30" t="s">
        <v>55</v>
      </c>
      <c r="C69" s="31"/>
      <c r="D69" s="26">
        <f>D65+D68</f>
        <v>1615000</v>
      </c>
      <c r="E69" s="26">
        <f>E65+E68</f>
        <v>1914536.0000000005</v>
      </c>
      <c r="F69" s="26">
        <f>F65+F68</f>
        <v>1885607.2040000004</v>
      </c>
    </row>
    <row r="70" spans="2:6" ht="6" customHeight="1" x14ac:dyDescent="0.35"/>
    <row r="71" spans="2:6" ht="4.5" customHeight="1" thickBot="1" x14ac:dyDescent="0.4"/>
    <row r="72" spans="2:6" ht="15" thickBot="1" x14ac:dyDescent="0.4">
      <c r="C72" s="21" t="s">
        <v>117</v>
      </c>
      <c r="F72" s="20">
        <f>F69-F58</f>
        <v>57066.204000000376</v>
      </c>
    </row>
    <row r="73" spans="2:6" ht="10.5" customHeight="1" thickBot="1" x14ac:dyDescent="0.4">
      <c r="B73" s="31"/>
      <c r="C73" s="31"/>
      <c r="D73" s="26"/>
      <c r="E73" s="26"/>
      <c r="F73" s="26"/>
    </row>
  </sheetData>
  <mergeCells count="3">
    <mergeCell ref="C35:F35"/>
    <mergeCell ref="B49:F49"/>
    <mergeCell ref="C25:F2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0"/>
  <sheetViews>
    <sheetView zoomScale="85" zoomScaleNormal="85" workbookViewId="0">
      <selection activeCell="E78" sqref="E78"/>
    </sheetView>
  </sheetViews>
  <sheetFormatPr defaultRowHeight="14.5" x14ac:dyDescent="0.35"/>
  <cols>
    <col min="1" max="1" width="3.81640625" customWidth="1"/>
    <col min="3" max="3" width="4.7265625" customWidth="1"/>
    <col min="4" max="4" width="4.81640625" customWidth="1"/>
    <col min="5" max="5" width="72.36328125" customWidth="1"/>
  </cols>
  <sheetData>
    <row r="2" spans="2:7" ht="18.5" x14ac:dyDescent="0.35">
      <c r="B2" s="112"/>
      <c r="C2" s="109"/>
      <c r="D2" s="109"/>
      <c r="E2" s="117" t="s">
        <v>167</v>
      </c>
      <c r="F2" s="109"/>
      <c r="G2" s="109"/>
    </row>
    <row r="3" spans="2:7" x14ac:dyDescent="0.35">
      <c r="B3" s="112"/>
      <c r="C3" s="109"/>
      <c r="D3" s="109"/>
      <c r="E3" s="118" t="s">
        <v>168</v>
      </c>
      <c r="F3" s="109"/>
      <c r="G3" s="109"/>
    </row>
    <row r="4" spans="2:7" x14ac:dyDescent="0.35">
      <c r="B4" s="112"/>
      <c r="C4" s="109"/>
      <c r="D4" s="109"/>
      <c r="E4" s="109"/>
      <c r="F4" s="109"/>
      <c r="G4" s="109"/>
    </row>
    <row r="5" spans="2:7" x14ac:dyDescent="0.35">
      <c r="B5" s="112"/>
      <c r="C5" s="109"/>
      <c r="D5" s="109"/>
      <c r="E5" s="111" t="s">
        <v>169</v>
      </c>
      <c r="F5" s="109"/>
      <c r="G5" s="109"/>
    </row>
    <row r="6" spans="2:7" x14ac:dyDescent="0.35">
      <c r="B6" s="109"/>
      <c r="C6" s="109"/>
      <c r="D6" s="109"/>
      <c r="E6" s="111" t="s">
        <v>170</v>
      </c>
      <c r="F6" s="109"/>
      <c r="G6" s="109"/>
    </row>
    <row r="7" spans="2:7" ht="15" thickBot="1" x14ac:dyDescent="0.4">
      <c r="B7" s="109"/>
      <c r="C7" s="109"/>
      <c r="D7" s="109"/>
      <c r="E7" s="109"/>
      <c r="F7" s="109"/>
      <c r="G7" s="109"/>
    </row>
    <row r="8" spans="2:7" ht="15" thickBot="1" x14ac:dyDescent="0.4">
      <c r="B8" s="114" t="b">
        <v>1</v>
      </c>
      <c r="C8" s="113" t="s">
        <v>0</v>
      </c>
      <c r="D8" s="113"/>
      <c r="E8" s="125" t="s">
        <v>171</v>
      </c>
      <c r="F8" s="109"/>
      <c r="G8" s="109"/>
    </row>
    <row r="9" spans="2:7" ht="33" customHeight="1" x14ac:dyDescent="0.35">
      <c r="B9" s="109"/>
      <c r="C9" s="109"/>
      <c r="D9" s="109"/>
      <c r="E9" s="125"/>
      <c r="F9" s="109"/>
      <c r="G9" s="109"/>
    </row>
    <row r="10" spans="2:7" ht="15" thickBot="1" x14ac:dyDescent="0.4">
      <c r="B10" s="109"/>
      <c r="C10" s="109"/>
      <c r="D10" s="109"/>
      <c r="E10" s="109"/>
      <c r="F10" s="109"/>
      <c r="G10" s="109"/>
    </row>
    <row r="11" spans="2:7" ht="15" thickBot="1" x14ac:dyDescent="0.4">
      <c r="B11" s="114" t="b">
        <v>0</v>
      </c>
      <c r="C11" s="113" t="s">
        <v>1</v>
      </c>
      <c r="D11" s="113"/>
      <c r="E11" s="125" t="s">
        <v>172</v>
      </c>
      <c r="F11" s="109"/>
      <c r="G11" s="109"/>
    </row>
    <row r="12" spans="2:7" ht="23" customHeight="1" x14ac:dyDescent="0.35">
      <c r="B12" s="109"/>
      <c r="C12" s="109"/>
      <c r="D12" s="109"/>
      <c r="E12" s="125"/>
      <c r="F12" s="109"/>
      <c r="G12" s="109"/>
    </row>
    <row r="13" spans="2:7" ht="15" thickBot="1" x14ac:dyDescent="0.4">
      <c r="B13" s="109"/>
      <c r="C13" s="109"/>
      <c r="D13" s="109"/>
      <c r="E13" s="109"/>
      <c r="F13" s="109"/>
      <c r="G13" s="109"/>
    </row>
    <row r="14" spans="2:7" ht="15" thickBot="1" x14ac:dyDescent="0.4">
      <c r="B14" s="114" t="b">
        <v>1</v>
      </c>
      <c r="C14" s="113" t="s">
        <v>6</v>
      </c>
      <c r="D14" s="113"/>
      <c r="E14" s="125" t="s">
        <v>173</v>
      </c>
      <c r="F14" s="109"/>
      <c r="G14" s="109"/>
    </row>
    <row r="15" spans="2:7" ht="18.5" customHeight="1" x14ac:dyDescent="0.35">
      <c r="B15" s="109"/>
      <c r="C15" s="109"/>
      <c r="D15" s="109"/>
      <c r="E15" s="125"/>
      <c r="F15" s="109"/>
      <c r="G15" s="109"/>
    </row>
    <row r="16" spans="2:7" ht="15" thickBot="1" x14ac:dyDescent="0.4">
      <c r="B16" s="109"/>
      <c r="C16" s="109"/>
      <c r="D16" s="109"/>
      <c r="E16" s="109"/>
      <c r="F16" s="109"/>
      <c r="G16" s="109"/>
    </row>
    <row r="17" spans="2:7" ht="15" thickBot="1" x14ac:dyDescent="0.4">
      <c r="B17" s="114" t="b">
        <v>0</v>
      </c>
      <c r="C17" s="113" t="s">
        <v>7</v>
      </c>
      <c r="D17" s="113"/>
      <c r="E17" s="125" t="s">
        <v>174</v>
      </c>
      <c r="F17" s="109"/>
      <c r="G17" s="109"/>
    </row>
    <row r="18" spans="2:7" ht="34" customHeight="1" x14ac:dyDescent="0.35">
      <c r="B18" s="109"/>
      <c r="C18" s="109"/>
      <c r="D18" s="109"/>
      <c r="E18" s="125"/>
      <c r="F18" s="109"/>
      <c r="G18" s="109"/>
    </row>
    <row r="19" spans="2:7" ht="15" thickBot="1" x14ac:dyDescent="0.4">
      <c r="B19" s="109"/>
      <c r="C19" s="109"/>
      <c r="D19" s="109"/>
      <c r="E19" s="109"/>
      <c r="F19" s="109"/>
      <c r="G19" s="109"/>
    </row>
    <row r="20" spans="2:7" ht="15" thickBot="1" x14ac:dyDescent="0.4">
      <c r="B20" s="114" t="b">
        <v>0</v>
      </c>
      <c r="C20" s="113" t="s">
        <v>175</v>
      </c>
      <c r="D20" s="113"/>
      <c r="E20" s="125" t="s">
        <v>176</v>
      </c>
      <c r="F20" s="109"/>
      <c r="G20" s="109"/>
    </row>
    <row r="21" spans="2:7" ht="19.5" customHeight="1" x14ac:dyDescent="0.35">
      <c r="B21" s="109"/>
      <c r="C21" s="109"/>
      <c r="D21" s="109"/>
      <c r="E21" s="125"/>
      <c r="F21" s="109"/>
      <c r="G21" s="109"/>
    </row>
    <row r="22" spans="2:7" ht="15" thickBot="1" x14ac:dyDescent="0.4">
      <c r="B22" s="109"/>
      <c r="C22" s="109"/>
      <c r="D22" s="109"/>
      <c r="E22" s="109"/>
      <c r="F22" s="109"/>
      <c r="G22" s="109"/>
    </row>
    <row r="23" spans="2:7" ht="15" thickBot="1" x14ac:dyDescent="0.4">
      <c r="B23" s="114" t="s">
        <v>179</v>
      </c>
      <c r="C23" s="113" t="s">
        <v>177</v>
      </c>
      <c r="D23" s="113"/>
      <c r="E23" s="125" t="s">
        <v>178</v>
      </c>
      <c r="F23" s="109"/>
      <c r="G23" s="109"/>
    </row>
    <row r="24" spans="2:7" x14ac:dyDescent="0.35">
      <c r="B24" s="109"/>
      <c r="C24" s="109"/>
      <c r="D24" s="109"/>
      <c r="E24" s="125"/>
      <c r="F24" s="109"/>
      <c r="G24" s="109"/>
    </row>
    <row r="25" spans="2:7" x14ac:dyDescent="0.35">
      <c r="B25" s="109"/>
      <c r="C25" s="109"/>
      <c r="D25" s="109" t="s">
        <v>180</v>
      </c>
      <c r="E25" s="109" t="s">
        <v>181</v>
      </c>
      <c r="F25" s="109"/>
      <c r="G25" s="109"/>
    </row>
    <row r="26" spans="2:7" x14ac:dyDescent="0.35">
      <c r="B26" s="109"/>
      <c r="C26" s="109"/>
      <c r="D26" s="109" t="s">
        <v>182</v>
      </c>
      <c r="E26" s="109" t="s">
        <v>183</v>
      </c>
      <c r="F26" s="109"/>
      <c r="G26" s="109"/>
    </row>
    <row r="27" spans="2:7" x14ac:dyDescent="0.35">
      <c r="B27" s="109"/>
      <c r="C27" s="109"/>
      <c r="D27" s="109" t="s">
        <v>184</v>
      </c>
      <c r="E27" s="109" t="s">
        <v>185</v>
      </c>
      <c r="F27" s="109"/>
      <c r="G27" s="109"/>
    </row>
    <row r="28" spans="2:7" x14ac:dyDescent="0.35">
      <c r="B28" s="109"/>
      <c r="C28" s="109"/>
      <c r="D28" s="109" t="s">
        <v>186</v>
      </c>
      <c r="E28" s="109" t="s">
        <v>187</v>
      </c>
      <c r="F28" s="109"/>
      <c r="G28" s="109"/>
    </row>
    <row r="29" spans="2:7" x14ac:dyDescent="0.35">
      <c r="B29" s="109"/>
      <c r="C29" s="109"/>
      <c r="D29" s="109" t="s">
        <v>188</v>
      </c>
      <c r="E29" s="109" t="s">
        <v>189</v>
      </c>
      <c r="F29" s="109"/>
      <c r="G29" s="109"/>
    </row>
    <row r="30" spans="2:7" ht="15" thickBot="1" x14ac:dyDescent="0.4">
      <c r="B30" s="109"/>
      <c r="C30" s="109"/>
      <c r="D30" s="109"/>
      <c r="E30" s="109"/>
      <c r="F30" s="109"/>
      <c r="G30" s="109"/>
    </row>
    <row r="31" spans="2:7" ht="15" thickBot="1" x14ac:dyDescent="0.4">
      <c r="B31" s="114" t="s">
        <v>192</v>
      </c>
      <c r="C31" s="113" t="s">
        <v>190</v>
      </c>
      <c r="D31" s="113"/>
      <c r="E31" s="125" t="s">
        <v>191</v>
      </c>
      <c r="F31" s="109"/>
      <c r="G31" s="109"/>
    </row>
    <row r="32" spans="2:7" ht="78" customHeight="1" x14ac:dyDescent="0.35">
      <c r="B32" s="109"/>
      <c r="C32" s="109"/>
      <c r="D32" s="109"/>
      <c r="E32" s="125"/>
      <c r="F32" s="109"/>
      <c r="G32" s="109"/>
    </row>
    <row r="33" spans="2:7" x14ac:dyDescent="0.35">
      <c r="B33" s="109"/>
      <c r="C33" s="109"/>
      <c r="D33" s="109" t="s">
        <v>180</v>
      </c>
      <c r="E33" s="109" t="s">
        <v>193</v>
      </c>
      <c r="F33" s="109"/>
      <c r="G33" s="109"/>
    </row>
    <row r="34" spans="2:7" x14ac:dyDescent="0.35">
      <c r="B34" s="109"/>
      <c r="C34" s="109"/>
      <c r="D34" s="109" t="s">
        <v>182</v>
      </c>
      <c r="E34" s="109" t="s">
        <v>194</v>
      </c>
      <c r="F34" s="109"/>
      <c r="G34" s="109"/>
    </row>
    <row r="35" spans="2:7" x14ac:dyDescent="0.35">
      <c r="B35" s="109"/>
      <c r="C35" s="109"/>
      <c r="D35" s="109" t="s">
        <v>184</v>
      </c>
      <c r="E35" s="109" t="s">
        <v>195</v>
      </c>
      <c r="F35" s="109"/>
      <c r="G35" s="109"/>
    </row>
    <row r="36" spans="2:7" x14ac:dyDescent="0.35">
      <c r="B36" s="109"/>
      <c r="C36" s="109"/>
      <c r="D36" s="109" t="s">
        <v>186</v>
      </c>
      <c r="E36" s="109" t="s">
        <v>196</v>
      </c>
      <c r="F36" s="109"/>
      <c r="G36" s="109"/>
    </row>
    <row r="37" spans="2:7" x14ac:dyDescent="0.35">
      <c r="B37" s="109"/>
      <c r="C37" s="109"/>
      <c r="D37" s="109" t="s">
        <v>188</v>
      </c>
      <c r="E37" s="109" t="s">
        <v>197</v>
      </c>
      <c r="F37" s="109"/>
      <c r="G37" s="109"/>
    </row>
    <row r="38" spans="2:7" ht="15" thickBot="1" x14ac:dyDescent="0.4">
      <c r="B38" s="109"/>
      <c r="C38" s="109"/>
      <c r="D38" s="109"/>
      <c r="E38" s="109"/>
      <c r="F38" s="109"/>
      <c r="G38" s="109"/>
    </row>
    <row r="39" spans="2:7" ht="15" thickBot="1" x14ac:dyDescent="0.4">
      <c r="B39" s="114" t="s">
        <v>200</v>
      </c>
      <c r="C39" s="113" t="s">
        <v>198</v>
      </c>
      <c r="D39" s="113"/>
      <c r="E39" s="125" t="s">
        <v>199</v>
      </c>
      <c r="F39" s="109"/>
      <c r="G39" s="109"/>
    </row>
    <row r="40" spans="2:7" ht="99.5" customHeight="1" x14ac:dyDescent="0.35">
      <c r="B40" s="109"/>
      <c r="C40" s="109"/>
      <c r="D40" s="109"/>
      <c r="E40" s="125"/>
      <c r="F40" s="109"/>
      <c r="G40" s="109"/>
    </row>
    <row r="41" spans="2:7" ht="55" customHeight="1" x14ac:dyDescent="0.35">
      <c r="B41" s="109"/>
      <c r="C41" s="109"/>
      <c r="D41" s="115" t="s">
        <v>180</v>
      </c>
      <c r="E41" s="116" t="s">
        <v>201</v>
      </c>
      <c r="F41" s="109"/>
      <c r="G41" s="109"/>
    </row>
    <row r="42" spans="2:7" ht="53.5" customHeight="1" x14ac:dyDescent="0.35">
      <c r="B42" s="109"/>
      <c r="C42" s="109"/>
      <c r="D42" s="115" t="s">
        <v>182</v>
      </c>
      <c r="E42" s="116" t="s">
        <v>202</v>
      </c>
      <c r="F42" s="109"/>
      <c r="G42" s="109"/>
    </row>
    <row r="43" spans="2:7" ht="39.5" customHeight="1" x14ac:dyDescent="0.35">
      <c r="B43" s="109"/>
      <c r="C43" s="109"/>
      <c r="D43" s="115" t="s">
        <v>184</v>
      </c>
      <c r="E43" s="116" t="s">
        <v>203</v>
      </c>
      <c r="F43" s="109"/>
      <c r="G43" s="109"/>
    </row>
    <row r="44" spans="2:7" ht="41.5" customHeight="1" x14ac:dyDescent="0.35">
      <c r="B44" s="109"/>
      <c r="C44" s="109"/>
      <c r="D44" s="115" t="s">
        <v>186</v>
      </c>
      <c r="E44" s="116" t="s">
        <v>204</v>
      </c>
      <c r="F44" s="109"/>
      <c r="G44" s="109"/>
    </row>
    <row r="45" spans="2:7" x14ac:dyDescent="0.35">
      <c r="B45" s="109"/>
      <c r="C45" s="109"/>
      <c r="D45" s="115" t="s">
        <v>188</v>
      </c>
      <c r="E45" s="115" t="s">
        <v>197</v>
      </c>
      <c r="F45" s="109"/>
      <c r="G45" s="109"/>
    </row>
    <row r="46" spans="2:7" ht="15" thickBot="1" x14ac:dyDescent="0.4">
      <c r="B46" s="109"/>
      <c r="C46" s="109"/>
      <c r="D46" s="109"/>
      <c r="E46" s="109"/>
      <c r="F46" s="109"/>
      <c r="G46" s="109"/>
    </row>
    <row r="47" spans="2:7" ht="15" thickBot="1" x14ac:dyDescent="0.4">
      <c r="B47" s="114" t="b">
        <v>0</v>
      </c>
      <c r="C47" s="113" t="s">
        <v>205</v>
      </c>
      <c r="D47" s="113"/>
      <c r="E47" s="125" t="s">
        <v>206</v>
      </c>
      <c r="F47" s="109"/>
      <c r="G47" s="109"/>
    </row>
    <row r="48" spans="2:7" x14ac:dyDescent="0.35">
      <c r="B48" s="109"/>
      <c r="C48" s="109"/>
      <c r="D48" s="109"/>
      <c r="E48" s="125"/>
      <c r="F48" s="109"/>
      <c r="G48" s="109"/>
    </row>
    <row r="49" spans="1:8" ht="15" thickBot="1" x14ac:dyDescent="0.4">
      <c r="A49" s="109"/>
      <c r="B49" s="109"/>
      <c r="C49" s="109"/>
      <c r="D49" s="109"/>
      <c r="E49" s="109"/>
      <c r="F49" s="109"/>
      <c r="G49" s="109"/>
      <c r="H49" s="109"/>
    </row>
    <row r="50" spans="1:8" ht="15" thickBot="1" x14ac:dyDescent="0.4">
      <c r="A50" s="109"/>
      <c r="B50" s="114" t="s">
        <v>209</v>
      </c>
      <c r="C50" s="113" t="s">
        <v>207</v>
      </c>
      <c r="D50" s="113"/>
      <c r="E50" s="125" t="s">
        <v>208</v>
      </c>
      <c r="F50" s="109"/>
      <c r="G50" s="109"/>
      <c r="H50" s="109"/>
    </row>
    <row r="51" spans="1:8" x14ac:dyDescent="0.35">
      <c r="A51" s="109"/>
      <c r="B51" s="109"/>
      <c r="C51" s="109"/>
      <c r="D51" s="109"/>
      <c r="E51" s="125"/>
      <c r="F51" s="109"/>
      <c r="G51" s="109"/>
      <c r="H51" s="109"/>
    </row>
    <row r="52" spans="1:8" x14ac:dyDescent="0.35">
      <c r="A52" s="109"/>
      <c r="B52" s="109"/>
      <c r="C52" s="109"/>
      <c r="D52" s="109" t="s">
        <v>180</v>
      </c>
      <c r="E52" s="109" t="s">
        <v>210</v>
      </c>
      <c r="F52" s="109"/>
      <c r="G52" s="109"/>
      <c r="H52" s="109"/>
    </row>
    <row r="53" spans="1:8" x14ac:dyDescent="0.35">
      <c r="A53" s="109"/>
      <c r="B53" s="109"/>
      <c r="C53" s="109"/>
      <c r="D53" s="109" t="s">
        <v>182</v>
      </c>
      <c r="E53" s="109" t="s">
        <v>211</v>
      </c>
      <c r="F53" s="109"/>
      <c r="G53" s="109"/>
      <c r="H53" s="109"/>
    </row>
    <row r="54" spans="1:8" x14ac:dyDescent="0.35">
      <c r="A54" s="109"/>
      <c r="B54" s="109"/>
      <c r="C54" s="109"/>
      <c r="D54" s="109" t="s">
        <v>184</v>
      </c>
      <c r="E54" s="109" t="s">
        <v>212</v>
      </c>
      <c r="F54" s="109"/>
      <c r="G54" s="109"/>
      <c r="H54" s="109"/>
    </row>
    <row r="55" spans="1:8" x14ac:dyDescent="0.35">
      <c r="A55" s="109"/>
      <c r="B55" s="109"/>
      <c r="C55" s="109"/>
      <c r="D55" s="109" t="s">
        <v>186</v>
      </c>
      <c r="E55" s="109" t="s">
        <v>187</v>
      </c>
      <c r="F55" s="109"/>
      <c r="G55" s="109"/>
      <c r="H55" s="109"/>
    </row>
    <row r="56" spans="1:8" x14ac:dyDescent="0.35">
      <c r="A56" s="109"/>
      <c r="B56" s="109"/>
      <c r="C56" s="109"/>
      <c r="D56" s="109" t="s">
        <v>188</v>
      </c>
      <c r="E56" s="109" t="s">
        <v>189</v>
      </c>
      <c r="F56" s="109"/>
      <c r="G56" s="109"/>
      <c r="H56" s="109"/>
    </row>
    <row r="57" spans="1:8" ht="15" thickBot="1" x14ac:dyDescent="0.4">
      <c r="A57" s="109"/>
      <c r="B57" s="109"/>
      <c r="C57" s="109"/>
      <c r="D57" s="109"/>
      <c r="E57" s="109"/>
      <c r="F57" s="109"/>
      <c r="G57" s="109"/>
      <c r="H57" s="109"/>
    </row>
    <row r="58" spans="1:8" ht="15" thickBot="1" x14ac:dyDescent="0.4">
      <c r="A58" s="109"/>
      <c r="B58" s="114" t="b">
        <v>0</v>
      </c>
      <c r="C58" s="113" t="s">
        <v>213</v>
      </c>
      <c r="D58" s="113"/>
      <c r="E58" s="125" t="s">
        <v>214</v>
      </c>
      <c r="F58" s="109"/>
      <c r="G58" s="109"/>
      <c r="H58" s="109"/>
    </row>
    <row r="59" spans="1:8" ht="34" customHeight="1" x14ac:dyDescent="0.35">
      <c r="A59" s="109"/>
      <c r="B59" s="109"/>
      <c r="C59" s="109"/>
      <c r="D59" s="109"/>
      <c r="E59" s="125"/>
      <c r="F59" s="109"/>
      <c r="G59" s="109"/>
      <c r="H59" s="109"/>
    </row>
    <row r="60" spans="1:8" ht="15" thickBot="1" x14ac:dyDescent="0.4">
      <c r="A60" s="109"/>
      <c r="B60" s="109"/>
      <c r="C60" s="109"/>
      <c r="D60" s="109"/>
      <c r="E60" s="109"/>
      <c r="F60" s="109"/>
      <c r="G60" s="109"/>
      <c r="H60" s="109"/>
    </row>
    <row r="61" spans="1:8" ht="15" thickBot="1" x14ac:dyDescent="0.4">
      <c r="A61" s="109"/>
      <c r="B61" s="114" t="b">
        <v>0</v>
      </c>
      <c r="C61" s="113" t="s">
        <v>215</v>
      </c>
      <c r="D61" s="113"/>
      <c r="E61" s="125" t="s">
        <v>216</v>
      </c>
      <c r="F61" s="109"/>
      <c r="G61" s="109"/>
      <c r="H61" s="109"/>
    </row>
    <row r="62" spans="1:8" ht="28.5" customHeight="1" thickBot="1" x14ac:dyDescent="0.4">
      <c r="A62" s="109"/>
      <c r="B62" s="109"/>
      <c r="C62" s="109"/>
      <c r="D62" s="109"/>
      <c r="E62" s="125"/>
      <c r="F62" s="109"/>
      <c r="G62" s="109"/>
      <c r="H62" s="109"/>
    </row>
    <row r="63" spans="1:8" ht="15" thickBot="1" x14ac:dyDescent="0.4">
      <c r="A63" s="126" t="s">
        <v>217</v>
      </c>
      <c r="B63" s="127"/>
      <c r="C63" s="127"/>
      <c r="D63" s="127"/>
      <c r="E63" s="127"/>
      <c r="F63" s="127"/>
      <c r="G63" s="127"/>
      <c r="H63" s="128"/>
    </row>
    <row r="65" spans="6:10" x14ac:dyDescent="0.35">
      <c r="F65" s="109">
        <v>1</v>
      </c>
      <c r="G65" s="110" t="b">
        <v>1</v>
      </c>
      <c r="I65" s="109">
        <v>7</v>
      </c>
      <c r="J65" s="110" t="s">
        <v>192</v>
      </c>
    </row>
    <row r="66" spans="6:10" x14ac:dyDescent="0.35">
      <c r="F66" s="109">
        <v>2</v>
      </c>
      <c r="G66" s="110" t="b">
        <v>0</v>
      </c>
      <c r="I66" s="109">
        <v>8</v>
      </c>
      <c r="J66" s="110" t="s">
        <v>200</v>
      </c>
    </row>
    <row r="67" spans="6:10" x14ac:dyDescent="0.35">
      <c r="F67" s="109">
        <v>3</v>
      </c>
      <c r="G67" s="110" t="b">
        <v>1</v>
      </c>
      <c r="I67" s="109">
        <v>9</v>
      </c>
      <c r="J67" s="110" t="b">
        <v>0</v>
      </c>
    </row>
    <row r="68" spans="6:10" x14ac:dyDescent="0.35">
      <c r="F68" s="109">
        <v>4</v>
      </c>
      <c r="G68" s="110" t="b">
        <v>0</v>
      </c>
      <c r="I68" s="109">
        <v>10</v>
      </c>
      <c r="J68" s="110" t="s">
        <v>209</v>
      </c>
    </row>
    <row r="69" spans="6:10" x14ac:dyDescent="0.35">
      <c r="F69" s="109">
        <v>5</v>
      </c>
      <c r="G69" s="110" t="b">
        <v>0</v>
      </c>
      <c r="I69" s="109">
        <v>11</v>
      </c>
      <c r="J69" s="110" t="b">
        <v>0</v>
      </c>
    </row>
    <row r="70" spans="6:10" x14ac:dyDescent="0.35">
      <c r="F70" s="109">
        <v>6</v>
      </c>
      <c r="G70" s="110" t="s">
        <v>179</v>
      </c>
      <c r="I70" s="109">
        <v>12</v>
      </c>
      <c r="J70" s="110" t="b">
        <v>0</v>
      </c>
    </row>
  </sheetData>
  <mergeCells count="13">
    <mergeCell ref="A63:H63"/>
    <mergeCell ref="E31:E32"/>
    <mergeCell ref="E39:E40"/>
    <mergeCell ref="E47:E48"/>
    <mergeCell ref="E50:E51"/>
    <mergeCell ref="E58:E59"/>
    <mergeCell ref="E61:E62"/>
    <mergeCell ref="E23:E24"/>
    <mergeCell ref="E8:E9"/>
    <mergeCell ref="E11:E12"/>
    <mergeCell ref="E14:E15"/>
    <mergeCell ref="E17:E18"/>
    <mergeCell ref="E20:E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P1 - 25 Pts</vt:lpstr>
      <vt:lpstr>P2 - 5 Pts</vt:lpstr>
      <vt:lpstr>P3 - 10 Pts</vt:lpstr>
      <vt:lpstr>P4 - 20 Pts</vt:lpstr>
      <vt:lpstr>P5 - 15 Pts</vt:lpstr>
      <vt:lpstr>MC-TF - 25 Pts</vt:lpstr>
      <vt:lpstr>Periods</vt:lpstr>
      <vt:lpstr>'P5 - 15 Pts'!Print_Area</vt:lpstr>
      <vt:lpstr>Rate</vt:lpstr>
      <vt:lpstr>Term</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cp:lastPrinted>2010-04-05T16:12:33Z</cp:lastPrinted>
  <dcterms:created xsi:type="dcterms:W3CDTF">2010-01-13T00:10:02Z</dcterms:created>
  <dcterms:modified xsi:type="dcterms:W3CDTF">2011-07-06T16:56:42Z</dcterms:modified>
</cp:coreProperties>
</file>