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16" yWindow="84" windowWidth="20124" windowHeight="7980" tabRatio="681" activeTab="5"/>
  </bookViews>
  <sheets>
    <sheet name="INSTRUCTIONS" sheetId="6" r:id="rId1"/>
    <sheet name="P1 - 25 Pts" sheetId="2" r:id="rId2"/>
    <sheet name="P2 - 8 Pts" sheetId="10" r:id="rId3"/>
    <sheet name="P3 - 12 Pts" sheetId="11" r:id="rId4"/>
    <sheet name="P4 - 20 Pts" sheetId="1" r:id="rId5"/>
    <sheet name="P5 - 15 Pts" sheetId="5" r:id="rId6"/>
    <sheet name="MC-TF - 20 Pts" sheetId="13" r:id="rId7"/>
  </sheets>
  <definedNames>
    <definedName name="OLE_LINK1" localSheetId="4">'P4 - 20 Pts'!$C$55</definedName>
    <definedName name="Periods">'P1 - 25 Pts'!$O$21</definedName>
    <definedName name="_xlnm.Print_Area" localSheetId="5">'P5 - 15 Pts'!$B$35:$F$73</definedName>
    <definedName name="Rate">'P1 - 25 Pts'!$F$23</definedName>
    <definedName name="Term">'P1 - 25 Pts'!$F$22</definedName>
  </definedNames>
  <calcPr calcId="145621" iterate="1" iterateDelta="200"/>
</workbook>
</file>

<file path=xl/calcChain.xml><?xml version="1.0" encoding="utf-8"?>
<calcChain xmlns="http://schemas.openxmlformats.org/spreadsheetml/2006/main">
  <c r="F38" i="5" l="1"/>
  <c r="B64" i="13" l="1"/>
  <c r="B63" i="13"/>
  <c r="B62" i="13"/>
  <c r="B59" i="13"/>
  <c r="B58" i="13"/>
  <c r="B57" i="13"/>
  <c r="B56" i="13"/>
  <c r="B55" i="13"/>
  <c r="D93" i="1" l="1"/>
  <c r="E66" i="1"/>
  <c r="E65" i="1"/>
  <c r="E63" i="1"/>
  <c r="E62" i="1"/>
  <c r="D34" i="1"/>
  <c r="E21" i="1"/>
  <c r="E22" i="1"/>
  <c r="E23" i="1"/>
  <c r="E24" i="1" s="1"/>
  <c r="E20" i="1"/>
  <c r="H20" i="11"/>
  <c r="H22" i="11" s="1"/>
  <c r="H24" i="11" l="1"/>
  <c r="H26" i="11" s="1"/>
  <c r="B61" i="13"/>
  <c r="B60" i="13"/>
  <c r="E75" i="1" l="1"/>
  <c r="E64" i="1"/>
  <c r="E67" i="1" s="1"/>
  <c r="O19" i="11"/>
  <c r="F46" i="1" l="1"/>
  <c r="F45" i="1"/>
  <c r="F44" i="1"/>
  <c r="F43" i="1"/>
  <c r="E25" i="1"/>
  <c r="P18" i="11" l="1"/>
  <c r="E57" i="5"/>
  <c r="D57" i="5"/>
  <c r="E54" i="5"/>
  <c r="E68" i="5"/>
  <c r="E63" i="5"/>
  <c r="E65" i="5" s="1"/>
  <c r="D68" i="5"/>
  <c r="D63" i="5"/>
  <c r="D65" i="5" s="1"/>
  <c r="D69" i="5" s="1"/>
  <c r="D54" i="5"/>
  <c r="D58" i="5" s="1"/>
  <c r="E39" i="5"/>
  <c r="E43" i="5" s="1"/>
  <c r="E45" i="5" s="1"/>
  <c r="E47" i="5" s="1"/>
  <c r="D39" i="5"/>
  <c r="D43" i="5" s="1"/>
  <c r="D45" i="5" s="1"/>
  <c r="D47" i="5" s="1"/>
  <c r="F55" i="5"/>
  <c r="I60" i="5"/>
  <c r="H60" i="5"/>
  <c r="J60" i="5" s="1"/>
  <c r="I53" i="5"/>
  <c r="H53" i="5"/>
  <c r="I52" i="5"/>
  <c r="H52" i="5"/>
  <c r="J52" i="5" s="1"/>
  <c r="F44" i="5"/>
  <c r="F42" i="5"/>
  <c r="F56" i="5" s="1"/>
  <c r="I40" i="5"/>
  <c r="H40" i="5"/>
  <c r="I38" i="5"/>
  <c r="H38" i="5"/>
  <c r="F37" i="5"/>
  <c r="G19" i="10"/>
  <c r="E69" i="5" l="1"/>
  <c r="E58" i="5"/>
  <c r="J38" i="5"/>
  <c r="F39" i="5" s="1"/>
  <c r="P19" i="11"/>
  <c r="O20" i="11"/>
  <c r="F57" i="5"/>
  <c r="G23" i="10"/>
  <c r="G31" i="10" s="1"/>
  <c r="F60" i="5"/>
  <c r="F63" i="5" s="1"/>
  <c r="F65" i="5" s="1"/>
  <c r="J40" i="5"/>
  <c r="F40" i="5" s="1"/>
  <c r="J53" i="5"/>
  <c r="F53" i="5" s="1"/>
  <c r="F52" i="5"/>
  <c r="G30" i="2"/>
  <c r="O21" i="2"/>
  <c r="O21" i="11" l="1"/>
  <c r="O22" i="11" s="1"/>
  <c r="O23" i="11" s="1"/>
  <c r="O24" i="11" s="1"/>
  <c r="O25" i="11" s="1"/>
  <c r="O26" i="11" s="1"/>
  <c r="O27" i="11" s="1"/>
  <c r="O28" i="11" s="1"/>
  <c r="O29" i="11" s="1"/>
  <c r="O30" i="11" s="1"/>
  <c r="O31" i="11" s="1"/>
  <c r="O32" i="11" s="1"/>
  <c r="O33" i="11" s="1"/>
  <c r="O34" i="11" s="1"/>
  <c r="O35" i="11" s="1"/>
  <c r="O36" i="11" s="1"/>
  <c r="O37" i="11" s="1"/>
  <c r="O38" i="11" s="1"/>
  <c r="O39" i="11" s="1"/>
  <c r="O40" i="11" s="1"/>
  <c r="O41" i="11" s="1"/>
  <c r="O42" i="11" s="1"/>
  <c r="O43" i="11" s="1"/>
  <c r="O44" i="11" s="1"/>
  <c r="O45" i="11" s="1"/>
  <c r="O46" i="11" s="1"/>
  <c r="O47" i="11" s="1"/>
  <c r="O48" i="11" s="1"/>
  <c r="O49" i="11" s="1"/>
  <c r="P20" i="11"/>
  <c r="D31" i="2"/>
  <c r="D35" i="2" s="1"/>
  <c r="H25" i="2"/>
  <c r="F43" i="5"/>
  <c r="F45" i="5" s="1"/>
  <c r="F54" i="5"/>
  <c r="F58" i="5" s="1"/>
  <c r="E31" i="2"/>
  <c r="D90" i="2"/>
  <c r="D89" i="2"/>
  <c r="D88" i="2"/>
  <c r="D87" i="2"/>
  <c r="D86" i="2"/>
  <c r="D85" i="2"/>
  <c r="D84" i="2"/>
  <c r="D83" i="2"/>
  <c r="D82" i="2"/>
  <c r="D81" i="2"/>
  <c r="D80" i="2"/>
  <c r="D79" i="2"/>
  <c r="O50" i="11" l="1"/>
  <c r="P21" i="11"/>
  <c r="P22" i="11" s="1"/>
  <c r="P23" i="11" s="1"/>
  <c r="P24" i="11" s="1"/>
  <c r="P25" i="11" s="1"/>
  <c r="P26" i="11" s="1"/>
  <c r="P27" i="11" s="1"/>
  <c r="P28" i="11" s="1"/>
  <c r="P29" i="11" s="1"/>
  <c r="P30" i="11" s="1"/>
  <c r="P31" i="11" s="1"/>
  <c r="P32" i="11" s="1"/>
  <c r="P33" i="11" s="1"/>
  <c r="P34" i="11" s="1"/>
  <c r="P35" i="11" s="1"/>
  <c r="P36" i="11" s="1"/>
  <c r="P37" i="11" s="1"/>
  <c r="P38" i="11" s="1"/>
  <c r="P39" i="11" s="1"/>
  <c r="P40" i="11" s="1"/>
  <c r="P41" i="11" s="1"/>
  <c r="P42" i="11" s="1"/>
  <c r="P43" i="11" s="1"/>
  <c r="P44" i="11" s="1"/>
  <c r="P45" i="11" s="1"/>
  <c r="P46" i="11" s="1"/>
  <c r="P47" i="11" s="1"/>
  <c r="P48" i="11" s="1"/>
  <c r="P49" i="11" s="1"/>
  <c r="P50" i="11" s="1"/>
  <c r="P51" i="11" s="1"/>
  <c r="P52" i="11" s="1"/>
  <c r="P53"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P54" i="11" l="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P82" i="11" s="1"/>
  <c r="P83" i="11" s="1"/>
  <c r="P84" i="11" s="1"/>
  <c r="F32" i="2"/>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<sst xmlns="http://schemas.openxmlformats.org/spreadsheetml/2006/main" count="310" uniqueCount="279">
  <si>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</si>
  <si>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</si>
  <si>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</si>
  <si>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</si>
  <si>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</si>
  <si>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</si>
  <si>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</si>
  <si>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</si>
  <si>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</si>
  <si>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</si>
  <si>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</si>
  <si>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</si>
  <si>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</si>
  <si>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</si>
  <si>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</si>
  <si>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</si>
  <si>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</si>
  <si>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</si>
  <si>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</si>
  <si>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</si>
  <si>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</si>
  <si>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</si>
  <si>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</si>
  <si>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</si>
  <si>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</si>
  <si>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</si>
  <si>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</si>
  <si>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</si>
  <si>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</si>
  <si>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</si>
  <si>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</si>
  <si>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</si>
  <si>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</si>
  <si>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</si>
  <si>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</si>
  <si>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</si>
  <si>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</si>
  <si>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</si>
  <si>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</si>
  <si>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</si>
  <si>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</si>
  <si>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</si>
  <si>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</si>
  <si>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</si>
  <si>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</si>
  <si>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</si>
  <si>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</si>
  <si>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</si>
  <si>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</si>
  <si>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</si>
  <si>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</si>
  <si>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</si>
  <si>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</si>
  <si>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</si>
  <si>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NOTHING SHOULD BE USED OR ACCESSED BY YOU DURING THIS</t>
  </si>
  <si>
    <t>TEST EXCEPT THE COMPUTER YOU ARE USING AND THIS FILE, AND</t>
  </si>
  <si>
    <t>BLACKBOARD WHEN YOU SUBMIT YOUR COMPLETED EXAM.</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</si>
  <si>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</si>
  <si>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</si>
  <si>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</si>
  <si>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</si>
  <si>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</si>
  <si>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</si>
  <si>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</si>
  <si>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</si>
  <si>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</si>
  <si>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</si>
  <si>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</si>
  <si>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</si>
  <si>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</si>
  <si>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</si>
  <si>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</si>
  <si>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</si>
  <si>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</si>
  <si>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</si>
  <si>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</si>
  <si>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</si>
  <si>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</si>
  <si>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</si>
  <si>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</si>
  <si>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</si>
  <si>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</si>
  <si>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</si>
  <si>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</si>
  <si>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</si>
  <si>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</si>
  <si>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</si>
  <si>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</si>
  <si>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</si>
  <si>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</si>
  <si>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</si>
  <si>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</si>
  <si>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</si>
  <si>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</si>
  <si>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</si>
  <si>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</si>
  <si>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</si>
  <si>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</si>
  <si>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</si>
  <si>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</si>
  <si>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</si>
  <si>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</si>
  <si>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</si>
  <si>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given in the input cell. [3 Points]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</si>
  <si>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</si>
  <si>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</si>
  <si>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</si>
  <si>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</si>
  <si>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</si>
  <si>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</si>
  <si>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</si>
  <si>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</si>
  <si>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</si>
  <si>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</si>
  <si>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</si>
  <si>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</si>
  <si>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</si>
  <si>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</si>
  <si>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</si>
  <si>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</si>
  <si>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</si>
  <si>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[ 4 Points ]</t>
    </r>
  </si>
  <si>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</si>
  <si>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</si>
  <si>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</si>
  <si>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</si>
  <si>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</si>
  <si>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</si>
  <si>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</si>
  <si>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</si>
  <si>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There are 7 tabbed pages in this exam spreadsheet including this one.</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</si>
  <si>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</si>
  <si>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</si>
  <si>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</si>
  <si>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</si>
  <si>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</si>
  <si>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</si>
  <si>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</si>
  <si>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</si>
  <si>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</si>
  <si>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</si>
  <si>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</si>
  <si>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</si>
  <si>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</si>
  <si>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</si>
  <si>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It will increase.</t>
  </si>
  <si>
    <t>It will remain unchanged.</t>
  </si>
  <si>
    <t>It will decrease.</t>
  </si>
  <si>
    <t>Two of the above.</t>
  </si>
  <si>
    <t>None of the above.</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</si>
  <si>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</si>
  <si>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</si>
  <si>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</si>
  <si>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</si>
  <si>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</si>
  <si>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</si>
  <si>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</si>
  <si>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</si>
  <si>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</si>
  <si>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</si>
  <si>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</si>
  <si>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</si>
  <si>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</si>
  <si>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</si>
  <si>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</si>
  <si>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</si>
  <si>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</si>
  <si>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</si>
  <si>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</si>
  <si>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</si>
  <si>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</si>
  <si>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</si>
  <si>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</si>
  <si>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</si>
  <si>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</si>
  <si>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</si>
  <si>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</si>
  <si>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</si>
  <si>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</si>
  <si>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</si>
  <si>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</si>
  <si>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</si>
  <si>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</si>
  <si>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</si>
  <si>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Deposit 31</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</si>
  <si>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</si>
  <si>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</si>
  <si>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</si>
  <si>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</si>
  <si>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</si>
  <si>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</si>
  <si>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</si>
  <si>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</si>
  <si>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</si>
  <si>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</si>
  <si>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</si>
  <si>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</si>
  <si>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</si>
  <si>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</si>
  <si>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</si>
  <si>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</si>
  <si>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</si>
  <si>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</si>
  <si>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</si>
  <si>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</si>
  <si>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</si>
  <si>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</si>
  <si>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</si>
  <si>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</si>
  <si>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</si>
  <si>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</si>
  <si>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</si>
  <si>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</si>
  <si>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</si>
  <si>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</si>
  <si>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</si>
  <si>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</si>
  <si>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</si>
  <si>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</si>
  <si>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</si>
  <si>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</si>
  <si>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</si>
  <si>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Your formulas should work for any reasonable value of the input. [4 Points]</t>
  </si>
  <si>
    <t>PV at t=0 of CF0</t>
  </si>
  <si>
    <t xml:space="preserve">the NET INCOME from the table at the right for the year </t>
  </si>
  <si>
    <t>NET INCOME</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</si>
  <si>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</si>
  <si>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</si>
  <si>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</si>
  <si>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</si>
  <si>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future value of an investment increases.</t>
  </si>
  <si>
    <t>as the discount rate increases, the present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</si>
  <si>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</si>
  <si>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</si>
  <si>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</si>
  <si>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</si>
  <si>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</si>
  <si>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</si>
  <si>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t</t>
  </si>
  <si>
    <t xml:space="preserve">if the discount rate is 10% per year compounded annually. The four missing cash flows, </t>
  </si>
  <si>
    <t>hard-code the numbers in the formulas but the formulas must be shown. [ 6 Points ]</t>
  </si>
  <si>
    <t>your retirement account to pay out $200,00 per year for 30 years starting on January 1, 2050.</t>
  </si>
  <si>
    <t>The account will have a zero balance after the 30 withdrawals. There will be one payout per year.</t>
  </si>
  <si>
    <t xml:space="preserve">You plan to make annual deposits into your retirement account on January 1 of every year from 2013 </t>
  </si>
  <si>
    <t xml:space="preserve">to 2045 (33 deposits). The first deposit will be $40,000. The remaining 32 deposits will all be equal to each other, </t>
  </si>
  <si>
    <t>Deposit 32</t>
  </si>
  <si>
    <t>Deposit 33</t>
  </si>
  <si>
    <t>Withdrawal 26</t>
  </si>
  <si>
    <t>Withdrawal 27</t>
  </si>
  <si>
    <t>Withdrawal 28</t>
  </si>
  <si>
    <t>Withdrawal 29</t>
  </si>
  <si>
    <t>Withdrawal 30</t>
  </si>
  <si>
    <t>PV of above on 01/01/2013</t>
  </si>
  <si>
    <t>Amount needed on1/1/2049</t>
  </si>
  <si>
    <t>Amount of each of the 32 regualar payments that</t>
  </si>
  <si>
    <t xml:space="preserve">for the first two years, but then will pay an equal amount each year for 7 years, and then </t>
  </si>
  <si>
    <t>The total present value of all 10 cash flows, including the four missing ones, is $4500</t>
  </si>
  <si>
    <t>PV at t=0 of CF1</t>
  </si>
  <si>
    <t>PV at t=0 of CF6-10</t>
  </si>
  <si>
    <t>Value of unknowns at t=1</t>
  </si>
  <si>
    <t>7 years of sales and uses it to estimate 2012 sales. [3 Points]</t>
  </si>
  <si>
    <t>Percent Change in Sales from 2012</t>
  </si>
  <si>
    <t>Tax Rate for 2013</t>
  </si>
  <si>
    <t>Common Stock Dividend for 2013</t>
  </si>
  <si>
    <t>Expected addition to Plant and Equipment in 2013</t>
  </si>
  <si>
    <t>Additional depreciation on new Plant/Equip in 2013</t>
  </si>
  <si>
    <t>Excess/(Deficit) Financing for 2013</t>
  </si>
  <si>
    <t>A series of identical cash flows that are expected to occur at equal time periods for a specified number of periods is a annuity.  (True or false?)</t>
  </si>
  <si>
    <t>The future value of a current deposit decreases as the expected rate of inflation increases, other things equal.  (True or False?)</t>
  </si>
  <si>
    <t>According to financial theory, investors who take more risk make higher returns than those who take less risk. (True or false?)</t>
  </si>
  <si>
    <t>Objective Section - 20 Points Possible</t>
  </si>
  <si>
    <t xml:space="preserve">The beta (β) coefficient is a measure of a stock's total risk or variance when it is held in isolation. </t>
  </si>
  <si>
    <t>E</t>
  </si>
  <si>
    <t>Today is January 1st. You have an investment account with a current balance of $10,000. The interest rate on the account is 12.5% per year compounded daily. Suppose you withdraw exactly $1,133.25 on Dec. 31st of each year and leave the rest of the money in the account to gain interest. If you observe the account balance on January 1st of each year, which of the following best describes the behavior of the account balance over time?</t>
  </si>
  <si>
    <t>A</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</si>
  <si>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</si>
  <si>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</si>
  <si>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</si>
  <si>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C</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</si>
</sst>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0.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0" fontId="0" fillId="0" borderId="0" xfId="0"/>
    <xf numFmtId="8" fontId="0" fillId="0" borderId="0" xfId="0" applyNumberFormat="1"/>
    <xf numFmtId="0" fontId="0" fillId="0" borderId="9" xfId="0" applyBorder="1"/>
    <xf numFmtId="0" fontId="0" fillId="0" borderId="0" xfId="0" quotePrefix="1"/>
    <xf numFmtId="10" fontId="0" fillId="7" borderId="1" xfId="0" applyNumberFormat="1" applyFill="1" applyBorder="1"/>
    <xf numFmtId="41" fontId="0" fillId="2" borderId="0" xfId="0" applyNumberFormat="1" applyFill="1"/>
    <xf numFmtId="0" fontId="0" fillId="0" borderId="0" xfId="0"/>
    <xf numFmtId="0" fontId="0" fillId="0" borderId="0" xfId="0"/>
    <xf numFmtId="0" fontId="0" fillId="0" borderId="10"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17" xfId="0" applyBorder="1" applyAlignment="1">
      <alignment horizontal="center"/>
    </xf>
    <xf numFmtId="0" fontId="0" fillId="0" borderId="0" xfId="0"/>
    <xf numFmtId="0" fontId="0" fillId="0" borderId="0" xfId="0"/>
    <xf numFmtId="0" fontId="0" fillId="0" borderId="9"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41" fontId="5" fillId="0" borderId="0" xfId="0" applyNumberFormat="1" applyFont="1"/>
    <xf numFmtId="164" fontId="0" fillId="4" borderId="6" xfId="2" applyNumberFormat="1" applyFont="1" applyFill="1" applyBorder="1"/>
    <xf numFmtId="164" fontId="0" fillId="4" borderId="7" xfId="2" applyNumberFormat="1" applyFont="1" applyFill="1" applyBorder="1"/>
    <xf numFmtId="0" fontId="0" fillId="0" borderId="0" xfId="0"/>
    <xf numFmtId="0" fontId="11" fillId="0" borderId="0" xfId="0" applyFont="1"/>
    <xf numFmtId="0" fontId="14"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0" fontId="0" fillId="0" borderId="0" xfId="0"/>
    <xf numFmtId="8" fontId="0" fillId="0" borderId="0" xfId="0" applyNumberFormat="1"/>
    <xf numFmtId="0" fontId="0" fillId="0" borderId="0" xfId="0"/>
    <xf numFmtId="0" fontId="0" fillId="0" borderId="0" xfId="0"/>
    <xf numFmtId="0" fontId="0" fillId="0" borderId="0" xfId="0" quotePrefix="1"/>
    <xf numFmtId="164" fontId="2" fillId="0" borderId="1" xfId="2" applyNumberFormat="1" applyFont="1" applyBorder="1" applyAlignment="1">
      <alignment horizontal="center"/>
    </xf>
    <xf numFmtId="164" fontId="1" fillId="0" borderId="7" xfId="2" applyNumberFormat="1" applyFont="1" applyBorder="1" applyAlignment="1">
      <alignment horizontal="center"/>
    </xf>
    <xf numFmtId="0" fontId="0" fillId="0" borderId="0" xfId="0"/>
    <xf numFmtId="8" fontId="0" fillId="0" borderId="0" xfId="0" applyNumberFormat="1"/>
    <xf numFmtId="0" fontId="0" fillId="0" borderId="0" xfId="0"/>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0" fillId="0" borderId="0" xfId="0" quotePrefix="1" applyAlignment="1">
      <alignment horizontal="right" vertical="center"/>
    </xf>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applyAlignment="1">
      <alignment horizontal="left" vertical="top" wrapText="1"/>
    </xf>
    <xf numFmtId="0" fontId="3" fillId="4" borderId="17" xfId="0" applyFont="1" applyFill="1" applyBorder="1" applyAlignment="1">
      <alignment horizontal="center"/>
    </xf>
    <xf numFmtId="164" fontId="0" fillId="4" borderId="19" xfId="2" applyNumberFormat="1" applyFont="1" applyFill="1" applyBorder="1"/>
    <xf numFmtId="0" fontId="0" fillId="0" borderId="0" xfId="0"/>
    <xf numFmtId="0" fontId="8" fillId="6" borderId="16"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0" fillId="0" borderId="0" xfId="0"/>
    <xf numFmtId="0" fontId="0" fillId="0" borderId="0" xfId="0" quotePrefix="1" applyAlignment="1">
      <alignment horizontal="right" vertical="center"/>
    </xf>
    <xf numFmtId="0" fontId="0" fillId="0" borderId="0" xfId="0"/>
    <xf numFmtId="0" fontId="3" fillId="2" borderId="16" xfId="0" applyFont="1" applyFill="1" applyBorder="1" applyAlignment="1">
      <alignment horizontal="center"/>
    </xf>
    <xf numFmtId="8" fontId="0" fillId="2" borderId="12" xfId="2" applyNumberFormat="1" applyFont="1" applyFill="1" applyBorder="1"/>
    <xf numFmtId="44" fontId="0" fillId="2" borderId="13" xfId="2"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xf numFmtId="9" fontId="0" fillId="0" borderId="0" xfId="3" applyFont="1"/>
    <xf numFmtId="167" fontId="0" fillId="0" borderId="0" xfId="3" applyNumberFormat="1" applyFont="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5%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29</xdr:row>
      <xdr:rowOff>58420</xdr:rowOff>
    </xdr:from>
    <xdr:to>
      <xdr:col>9</xdr:col>
      <xdr:colOff>87630</xdr:colOff>
      <xdr:row>35</xdr:row>
      <xdr:rowOff>77470</xdr:rowOff>
    </xdr:to>
    <xdr:sp macro="" textlink="">
      <xdr:nvSpPr>
        <xdr:cNvPr id="2" name="Rounded Rectangle 1"/>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1</xdr:col>
      <xdr:colOff>86140</xdr:colOff>
      <xdr:row>47</xdr:row>
      <xdr:rowOff>79514</xdr:rowOff>
    </xdr:from>
    <xdr:to>
      <xdr:col>10</xdr:col>
      <xdr:colOff>394915</xdr:colOff>
      <xdr:row>51</xdr:row>
      <xdr:rowOff>581771</xdr:rowOff>
    </xdr:to>
    <xdr:pic>
      <xdr:nvPicPr>
        <xdr:cNvPr id="75" name="Picture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305" y="9932505"/>
          <a:ext cx="7199906" cy="1244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20011and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2013 is expected to change with sales by 105% of the two-year arithmetic average of the proportion of this item in relation to sales</a:t>
          </a:r>
          <a:r>
            <a:rPr lang="en-US" sz="1100" b="1" baseline="0">
              <a:solidFill>
                <a:schemeClr val="dk1"/>
              </a:solidFill>
              <a:effectLst/>
              <a:latin typeface="+mn-lt"/>
              <a:ea typeface="+mn-ea"/>
              <a:cs typeface="+mn-cs"/>
            </a:rPr>
            <a:t> for 20011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20011 and 2012</a:t>
          </a:r>
          <a:r>
            <a:rPr lang="en-US" sz="1100" b="1">
              <a:solidFill>
                <a:schemeClr val="dk1"/>
              </a:solidFill>
              <a:effectLst/>
              <a:latin typeface="+mn-lt"/>
              <a:ea typeface="+mn-ea"/>
              <a:cs typeface="+mn-cs"/>
            </a:rPr>
            <a:t>.  The firm has planned an investment of $250,000 in new equipment </a:t>
          </a:r>
          <a:r>
            <a:rPr lang="en-US" sz="1100" b="1" baseline="0">
              <a:solidFill>
                <a:schemeClr val="dk1"/>
              </a:solidFill>
              <a:effectLst/>
              <a:latin typeface="+mn-lt"/>
              <a:ea typeface="+mn-ea"/>
              <a:cs typeface="+mn-cs"/>
            </a:rPr>
            <a:t>in 2013.  This equipment will be depreciated at $8,000 per year. Depreciation on existing Plant/Equipment will be the same as it was in 2011.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2"/>
  <sheetViews>
    <sheetView workbookViewId="0">
      <selection activeCell="B21" sqref="B21"/>
    </sheetView>
  </sheetViews>
  <sheetFormatPr defaultRowHeight="14.4" x14ac:dyDescent="0.3"/>
  <cols>
    <col min="1" max="1" width="2.77734375" customWidth="1"/>
  </cols>
  <sheetData>
    <row r="2" spans="2:3" ht="18.45" x14ac:dyDescent="0.45">
      <c r="B2" s="99" t="s">
        <v>53</v>
      </c>
      <c r="C2" s="98"/>
    </row>
    <row r="3" spans="2:3" ht="18.45" x14ac:dyDescent="0.45">
      <c r="B3" s="99" t="s">
        <v>76</v>
      </c>
      <c r="C3" s="98"/>
    </row>
    <row r="4" spans="2:3" ht="18.45" x14ac:dyDescent="0.45">
      <c r="B4" s="99" t="s">
        <v>62</v>
      </c>
      <c r="C4" s="98"/>
    </row>
    <row r="5" spans="2:3" ht="6" customHeight="1" x14ac:dyDescent="0.45">
      <c r="B5" s="99"/>
      <c r="C5" s="98"/>
    </row>
    <row r="6" spans="2:3" ht="18.45" x14ac:dyDescent="0.45">
      <c r="B6" s="99" t="s">
        <v>54</v>
      </c>
      <c r="C6" s="98"/>
    </row>
    <row r="7" spans="2:3" ht="18.45" x14ac:dyDescent="0.45">
      <c r="B7" s="99" t="s">
        <v>55</v>
      </c>
      <c r="C7" s="98"/>
    </row>
    <row r="8" spans="2:3" ht="18.45" x14ac:dyDescent="0.45">
      <c r="B8" s="99" t="s">
        <v>56</v>
      </c>
      <c r="C8" s="98"/>
    </row>
    <row r="9" spans="2:3" ht="8.5500000000000007" customHeight="1" x14ac:dyDescent="0.45">
      <c r="B9" s="99"/>
      <c r="C9" s="98"/>
    </row>
    <row r="10" spans="2:3" ht="16.5" customHeight="1" x14ac:dyDescent="0.45">
      <c r="B10" s="99" t="s">
        <v>106</v>
      </c>
      <c r="C10" s="98"/>
    </row>
    <row r="11" spans="2:3" ht="16.5" customHeight="1" x14ac:dyDescent="0.45">
      <c r="B11" s="99" t="s">
        <v>107</v>
      </c>
      <c r="C11" s="98"/>
    </row>
    <row r="12" spans="2:3" ht="16.5" customHeight="1" x14ac:dyDescent="0.45">
      <c r="B12" s="99" t="s">
        <v>129</v>
      </c>
      <c r="C12" s="98"/>
    </row>
    <row r="13" spans="2:3" ht="4.5" customHeight="1" x14ac:dyDescent="0.45">
      <c r="B13" s="99"/>
      <c r="C13" s="98"/>
    </row>
    <row r="14" spans="2:3" ht="15" customHeight="1" x14ac:dyDescent="0.45">
      <c r="B14" s="99" t="s">
        <v>57</v>
      </c>
      <c r="C14" s="98"/>
    </row>
    <row r="15" spans="2:3" ht="16.5" customHeight="1" x14ac:dyDescent="0.45">
      <c r="B15" s="99"/>
      <c r="C15" s="98"/>
    </row>
    <row r="16" spans="2:3" ht="17.55" customHeight="1" x14ac:dyDescent="0.35">
      <c r="B16" s="98" t="s">
        <v>130</v>
      </c>
      <c r="C16" s="98"/>
    </row>
    <row r="17" spans="2:3" ht="18.45" x14ac:dyDescent="0.45">
      <c r="B17" s="99"/>
      <c r="C17" s="98"/>
    </row>
    <row r="18" spans="2:3" ht="20.399999999999999" customHeight="1" x14ac:dyDescent="0.35">
      <c r="B18" s="98" t="s">
        <v>58</v>
      </c>
      <c r="C18" s="98"/>
    </row>
    <row r="19" spans="2:3" ht="14.55" x14ac:dyDescent="0.35">
      <c r="B19" s="98" t="s">
        <v>131</v>
      </c>
      <c r="C19" s="98"/>
    </row>
    <row r="20" spans="2:3" ht="14.55" x14ac:dyDescent="0.35">
      <c r="B20" s="98" t="s">
        <v>277</v>
      </c>
      <c r="C20" s="98"/>
    </row>
    <row r="21" spans="2:3" ht="14.55" x14ac:dyDescent="0.35">
      <c r="B21" s="98"/>
      <c r="C21" s="98"/>
    </row>
    <row r="22" spans="2:3" ht="17.55" customHeight="1" x14ac:dyDescent="0.35">
      <c r="B22" s="100" t="s">
        <v>108</v>
      </c>
      <c r="C22" s="98"/>
    </row>
    <row r="23" spans="2:3" ht="17.55" customHeight="1" x14ac:dyDescent="0.35">
      <c r="B23" s="100" t="s">
        <v>109</v>
      </c>
      <c r="C23" s="98"/>
    </row>
    <row r="24" spans="2:3" ht="17.55" customHeight="1" x14ac:dyDescent="0.35">
      <c r="B24" s="98"/>
      <c r="C24" s="98"/>
    </row>
    <row r="25" spans="2:3" ht="14.55" customHeight="1" x14ac:dyDescent="0.35">
      <c r="B25" s="98" t="s">
        <v>77</v>
      </c>
      <c r="C25" s="98"/>
    </row>
    <row r="26" spans="2:3" ht="14.55" x14ac:dyDescent="0.35">
      <c r="B26" s="98"/>
      <c r="C26" s="98"/>
    </row>
    <row r="27" spans="2:3" ht="19.5" customHeight="1" x14ac:dyDescent="0.35">
      <c r="B27" s="98"/>
      <c r="C27" s="98" t="s">
        <v>78</v>
      </c>
    </row>
    <row r="28" spans="2:3" ht="14.55" x14ac:dyDescent="0.35">
      <c r="B28" s="98"/>
      <c r="C28" s="98" t="s">
        <v>110</v>
      </c>
    </row>
    <row r="29" spans="2:3" ht="14.55" x14ac:dyDescent="0.35">
      <c r="B29" s="98"/>
      <c r="C29" s="98" t="s">
        <v>132</v>
      </c>
    </row>
    <row r="30" spans="2:3" ht="14.55" x14ac:dyDescent="0.35">
      <c r="B30" s="98"/>
      <c r="C30" s="98"/>
    </row>
    <row r="31" spans="2:3" ht="14.55" x14ac:dyDescent="0.35">
      <c r="B31" s="98"/>
      <c r="C31" s="98"/>
    </row>
    <row r="32" spans="2:3" ht="14.55" x14ac:dyDescent="0.35">
      <c r="C32"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topLeftCell="A16" zoomScale="115" zoomScaleNormal="115" workbookViewId="0">
      <selection activeCell="F25" sqref="F25"/>
    </sheetView>
  </sheetViews>
  <sheetFormatPr defaultRowHeight="14.4" x14ac:dyDescent="0.3"/>
  <cols>
    <col min="1" max="2" width="2.77734375" customWidth="1"/>
    <col min="3" max="6" width="14.77734375" customWidth="1"/>
    <col min="7" max="7" width="16.21875" customWidth="1"/>
    <col min="8" max="8" width="13.21875" customWidth="1"/>
    <col min="9" max="9" width="8.77734375" customWidth="1"/>
  </cols>
  <sheetData>
    <row r="5" spans="23:23" ht="75" customHeight="1" x14ac:dyDescent="0.35"/>
    <row r="12" spans="23:23" ht="14.55" x14ac:dyDescent="0.35">
      <c r="W12">
        <v>1</v>
      </c>
    </row>
    <row r="18" spans="3:19" ht="14.55" x14ac:dyDescent="0.35">
      <c r="C18" s="41"/>
    </row>
    <row r="19" spans="3:19" ht="14.55" x14ac:dyDescent="0.35">
      <c r="C19" s="41"/>
    </row>
    <row r="20" spans="3:19" ht="14.55" x14ac:dyDescent="0.35">
      <c r="C20" s="16" t="s">
        <v>64</v>
      </c>
    </row>
    <row r="21" spans="3:19" ht="15" thickBot="1" x14ac:dyDescent="0.4">
      <c r="C21" s="6" t="s">
        <v>8</v>
      </c>
      <c r="F21" s="2">
        <v>240000</v>
      </c>
      <c r="G21" t="s">
        <v>90</v>
      </c>
      <c r="N21" t="s">
        <v>81</v>
      </c>
      <c r="O21">
        <f>IF(F25="Annual",1,IF(F25="Quarterly",4,12))</f>
        <v>1</v>
      </c>
      <c r="P21">
        <v>1</v>
      </c>
    </row>
    <row r="22" spans="3:19" ht="15" thickBot="1" x14ac:dyDescent="0.4">
      <c r="C22" s="41" t="s">
        <v>84</v>
      </c>
      <c r="F22" s="49">
        <v>3</v>
      </c>
      <c r="G22" t="s">
        <v>93</v>
      </c>
      <c r="H22" s="5">
        <f>D31*Term*Periods+F24-F21</f>
        <v>34422.577945093042</v>
      </c>
      <c r="N22" t="s">
        <v>82</v>
      </c>
      <c r="P22">
        <v>2</v>
      </c>
    </row>
    <row r="23" spans="3:19" ht="14.55" x14ac:dyDescent="0.35">
      <c r="C23" s="6" t="s">
        <v>9</v>
      </c>
      <c r="F23" s="3">
        <v>6.4000000000000001E-2</v>
      </c>
      <c r="N23" t="s">
        <v>83</v>
      </c>
      <c r="P23">
        <v>3</v>
      </c>
    </row>
    <row r="24" spans="3:19" ht="15" thickBot="1" x14ac:dyDescent="0.4">
      <c r="C24" s="6" t="s">
        <v>10</v>
      </c>
      <c r="F24" s="2">
        <v>50000</v>
      </c>
      <c r="G24" t="s">
        <v>91</v>
      </c>
      <c r="P24">
        <v>4</v>
      </c>
    </row>
    <row r="25" spans="3:19" ht="15" thickBot="1" x14ac:dyDescent="0.4">
      <c r="C25" s="41" t="s">
        <v>63</v>
      </c>
      <c r="F25" t="s">
        <v>81</v>
      </c>
      <c r="G25" t="s">
        <v>92</v>
      </c>
      <c r="H25" s="54">
        <f>EFFECT(Rate,Periods)</f>
        <v>6.4000000000000057E-2</v>
      </c>
      <c r="P25">
        <v>5</v>
      </c>
    </row>
    <row r="26" spans="3:19" ht="4.05" customHeight="1" thickBot="1" x14ac:dyDescent="0.4">
      <c r="C26" s="42"/>
      <c r="D26" s="8"/>
      <c r="E26" s="8"/>
      <c r="F26" s="8"/>
      <c r="G26" s="8"/>
      <c r="H26" s="8"/>
      <c r="I26" s="8"/>
      <c r="J26" s="8"/>
      <c r="K26" s="8"/>
      <c r="L26" s="8"/>
      <c r="M26" s="8"/>
      <c r="N26" s="15"/>
      <c r="O26" s="15"/>
      <c r="P26" s="15"/>
      <c r="Q26" s="15"/>
      <c r="R26" s="15"/>
      <c r="S26" s="15"/>
    </row>
    <row r="27" spans="3:19" ht="6" customHeight="1" x14ac:dyDescent="0.35"/>
    <row r="28" spans="3:19" ht="6" customHeight="1" thickBot="1" x14ac:dyDescent="0.4"/>
    <row r="29" spans="3:19" ht="29.55" thickBot="1" x14ac:dyDescent="0.4">
      <c r="C29" s="9" t="s">
        <v>11</v>
      </c>
      <c r="D29" s="10" t="s">
        <v>4</v>
      </c>
      <c r="E29" s="10" t="s">
        <v>12</v>
      </c>
      <c r="F29" s="10" t="s">
        <v>13</v>
      </c>
      <c r="G29" s="11" t="s">
        <v>14</v>
      </c>
    </row>
    <row r="30" spans="3:19" ht="14.55" x14ac:dyDescent="0.35">
      <c r="C30" s="12">
        <v>0</v>
      </c>
      <c r="D30" s="13"/>
      <c r="E30" s="13"/>
      <c r="F30" s="13"/>
      <c r="G30" s="50">
        <f>F21</f>
        <v>240000</v>
      </c>
    </row>
    <row r="31" spans="3:19" ht="14.55" x14ac:dyDescent="0.35">
      <c r="C31" s="12">
        <v>1</v>
      </c>
      <c r="D31" s="14">
        <f>PMT(Rate/Periods,Term*Periods,-F21,F24)</f>
        <v>74807.525981697676</v>
      </c>
      <c r="E31" s="13">
        <f t="shared" ref="E31:E62" si="0">IF(C31&gt;Term*Periods,"",G30*Rate/Periods)</f>
        <v>15360</v>
      </c>
      <c r="F31" s="14">
        <f t="shared" ref="F31:F62" si="1">IF(C31&gt;Term*Periods,"",D31-E31)</f>
        <v>59447.525981697676</v>
      </c>
      <c r="G31" s="13">
        <f t="shared" ref="G31:G62" si="2">IF(C31&gt;Term*Periods,"",G30-F31)</f>
        <v>180552.47401830234</v>
      </c>
      <c r="K31" t="s">
        <v>15</v>
      </c>
    </row>
    <row r="32" spans="3:19" ht="14.55" x14ac:dyDescent="0.35">
      <c r="C32" s="12">
        <v>2</v>
      </c>
      <c r="D32" s="14">
        <f t="shared" ref="D32:D63" si="3">IF(C32&gt;Term*Periods,"",IF(C32=Term*Periods,$D$31+$F$24,$D$31))</f>
        <v>74807.525981697676</v>
      </c>
      <c r="E32" s="13">
        <f t="shared" si="0"/>
        <v>11555.35833717135</v>
      </c>
      <c r="F32" s="14">
        <f t="shared" si="1"/>
        <v>63252.167644526329</v>
      </c>
      <c r="G32" s="13">
        <f t="shared" si="2"/>
        <v>117300.30637377601</v>
      </c>
    </row>
    <row r="33" spans="3:7" x14ac:dyDescent="0.3">
      <c r="C33" s="12">
        <v>3</v>
      </c>
      <c r="D33" s="14">
        <f t="shared" si="3"/>
        <v>124807.52598169768</v>
      </c>
      <c r="E33" s="13">
        <f t="shared" si="0"/>
        <v>7507.2196079216646</v>
      </c>
      <c r="F33" s="14">
        <f t="shared" si="1"/>
        <v>117300.30637377601</v>
      </c>
      <c r="G33" s="13">
        <f t="shared" si="2"/>
        <v>0</v>
      </c>
    </row>
    <row r="34" spans="3:7" x14ac:dyDescent="0.3">
      <c r="C34" s="12">
        <v>4</v>
      </c>
      <c r="D34" s="14" t="str">
        <f t="shared" si="3"/>
        <v/>
      </c>
      <c r="E34" s="13" t="str">
        <f t="shared" si="0"/>
        <v/>
      </c>
      <c r="F34" s="14" t="str">
        <f t="shared" si="1"/>
        <v/>
      </c>
      <c r="G34" s="13" t="str">
        <f t="shared" si="2"/>
        <v/>
      </c>
    </row>
    <row r="35" spans="3:7" x14ac:dyDescent="0.3">
      <c r="C35" s="12">
        <v>5</v>
      </c>
      <c r="D35" s="14" t="str">
        <f t="shared" si="3"/>
        <v/>
      </c>
      <c r="E35" s="13" t="str">
        <f t="shared" si="0"/>
        <v/>
      </c>
      <c r="F35" s="14" t="str">
        <f t="shared" si="1"/>
        <v/>
      </c>
      <c r="G35" s="13" t="str">
        <f t="shared" si="2"/>
        <v/>
      </c>
    </row>
    <row r="36" spans="3:7" x14ac:dyDescent="0.3">
      <c r="C36" s="12">
        <v>6</v>
      </c>
      <c r="D36" s="14" t="str">
        <f t="shared" si="3"/>
        <v/>
      </c>
      <c r="E36" s="13" t="str">
        <f t="shared" si="0"/>
        <v/>
      </c>
      <c r="F36" s="14" t="str">
        <f t="shared" si="1"/>
        <v/>
      </c>
      <c r="G36" s="13" t="str">
        <f t="shared" si="2"/>
        <v/>
      </c>
    </row>
    <row r="37" spans="3:7" x14ac:dyDescent="0.3">
      <c r="C37" s="12">
        <v>7</v>
      </c>
      <c r="D37" s="14" t="str">
        <f t="shared" si="3"/>
        <v/>
      </c>
      <c r="E37" s="13" t="str">
        <f t="shared" si="0"/>
        <v/>
      </c>
      <c r="F37" s="14" t="str">
        <f t="shared" si="1"/>
        <v/>
      </c>
      <c r="G37" s="13" t="str">
        <f t="shared" si="2"/>
        <v/>
      </c>
    </row>
    <row r="38" spans="3:7" x14ac:dyDescent="0.3">
      <c r="C38" s="12">
        <v>8</v>
      </c>
      <c r="D38" s="14" t="str">
        <f t="shared" si="3"/>
        <v/>
      </c>
      <c r="E38" s="13" t="str">
        <f t="shared" si="0"/>
        <v/>
      </c>
      <c r="F38" s="14" t="str">
        <f t="shared" si="1"/>
        <v/>
      </c>
      <c r="G38" s="13" t="str">
        <f t="shared" si="2"/>
        <v/>
      </c>
    </row>
    <row r="39" spans="3:7" x14ac:dyDescent="0.3">
      <c r="C39" s="12">
        <v>9</v>
      </c>
      <c r="D39" s="14" t="str">
        <f t="shared" si="3"/>
        <v/>
      </c>
      <c r="E39" s="13" t="str">
        <f t="shared" si="0"/>
        <v/>
      </c>
      <c r="F39" s="14" t="str">
        <f t="shared" si="1"/>
        <v/>
      </c>
      <c r="G39" s="13" t="str">
        <f t="shared" si="2"/>
        <v/>
      </c>
    </row>
    <row r="40" spans="3:7" x14ac:dyDescent="0.3">
      <c r="C40" s="12">
        <v>10</v>
      </c>
      <c r="D40" s="14" t="str">
        <f t="shared" si="3"/>
        <v/>
      </c>
      <c r="E40" s="13" t="str">
        <f t="shared" si="0"/>
        <v/>
      </c>
      <c r="F40" s="14" t="str">
        <f t="shared" si="1"/>
        <v/>
      </c>
      <c r="G40" s="13" t="str">
        <f t="shared" si="2"/>
        <v/>
      </c>
    </row>
    <row r="41" spans="3:7" x14ac:dyDescent="0.3">
      <c r="C41" s="12">
        <v>11</v>
      </c>
      <c r="D41" s="14" t="str">
        <f t="shared" si="3"/>
        <v/>
      </c>
      <c r="E41" s="13" t="str">
        <f t="shared" si="0"/>
        <v/>
      </c>
      <c r="F41" s="14" t="str">
        <f t="shared" si="1"/>
        <v/>
      </c>
      <c r="G41" s="13" t="str">
        <f t="shared" si="2"/>
        <v/>
      </c>
    </row>
    <row r="42" spans="3:7" x14ac:dyDescent="0.3">
      <c r="C42" s="12">
        <v>12</v>
      </c>
      <c r="D42" s="14" t="str">
        <f t="shared" si="3"/>
        <v/>
      </c>
      <c r="E42" s="13" t="str">
        <f t="shared" si="0"/>
        <v/>
      </c>
      <c r="F42" s="14" t="str">
        <f t="shared" si="1"/>
        <v/>
      </c>
      <c r="G42" s="13" t="str">
        <f t="shared" si="2"/>
        <v/>
      </c>
    </row>
    <row r="43" spans="3:7" x14ac:dyDescent="0.3">
      <c r="C43" s="12">
        <v>13</v>
      </c>
      <c r="D43" s="14" t="str">
        <f t="shared" si="3"/>
        <v/>
      </c>
      <c r="E43" s="13" t="str">
        <f t="shared" si="0"/>
        <v/>
      </c>
      <c r="F43" s="14" t="str">
        <f t="shared" si="1"/>
        <v/>
      </c>
      <c r="G43" s="13" t="str">
        <f t="shared" si="2"/>
        <v/>
      </c>
    </row>
    <row r="44" spans="3:7" x14ac:dyDescent="0.3">
      <c r="C44" s="12">
        <v>14</v>
      </c>
      <c r="D44" s="14" t="str">
        <f t="shared" si="3"/>
        <v/>
      </c>
      <c r="E44" s="13" t="str">
        <f t="shared" si="0"/>
        <v/>
      </c>
      <c r="F44" s="14" t="str">
        <f t="shared" si="1"/>
        <v/>
      </c>
      <c r="G44" s="13" t="str">
        <f t="shared" si="2"/>
        <v/>
      </c>
    </row>
    <row r="45" spans="3:7" x14ac:dyDescent="0.3">
      <c r="C45" s="12">
        <v>15</v>
      </c>
      <c r="D45" s="14" t="str">
        <f t="shared" si="3"/>
        <v/>
      </c>
      <c r="E45" s="13" t="str">
        <f t="shared" si="0"/>
        <v/>
      </c>
      <c r="F45" s="14" t="str">
        <f t="shared" si="1"/>
        <v/>
      </c>
      <c r="G45" s="13" t="str">
        <f t="shared" si="2"/>
        <v/>
      </c>
    </row>
    <row r="46" spans="3:7" x14ac:dyDescent="0.3">
      <c r="C46" s="12">
        <v>16</v>
      </c>
      <c r="D46" s="14" t="str">
        <f t="shared" si="3"/>
        <v/>
      </c>
      <c r="E46" s="13" t="str">
        <f t="shared" si="0"/>
        <v/>
      </c>
      <c r="F46" s="14" t="str">
        <f t="shared" si="1"/>
        <v/>
      </c>
      <c r="G46" s="13" t="str">
        <f t="shared" si="2"/>
        <v/>
      </c>
    </row>
    <row r="47" spans="3:7" x14ac:dyDescent="0.3">
      <c r="C47" s="12">
        <v>17</v>
      </c>
      <c r="D47" s="14" t="str">
        <f t="shared" si="3"/>
        <v/>
      </c>
      <c r="E47" s="13" t="str">
        <f t="shared" si="0"/>
        <v/>
      </c>
      <c r="F47" s="14" t="str">
        <f t="shared" si="1"/>
        <v/>
      </c>
      <c r="G47" s="13" t="str">
        <f t="shared" si="2"/>
        <v/>
      </c>
    </row>
    <row r="48" spans="3:7" x14ac:dyDescent="0.3">
      <c r="C48" s="12">
        <v>18</v>
      </c>
      <c r="D48" s="14" t="str">
        <f t="shared" si="3"/>
        <v/>
      </c>
      <c r="E48" s="13" t="str">
        <f t="shared" si="0"/>
        <v/>
      </c>
      <c r="F48" s="14" t="str">
        <f t="shared" si="1"/>
        <v/>
      </c>
      <c r="G48" s="13" t="str">
        <f t="shared" si="2"/>
        <v/>
      </c>
    </row>
    <row r="49" spans="3:7" x14ac:dyDescent="0.3">
      <c r="C49" s="12">
        <v>19</v>
      </c>
      <c r="D49" s="14" t="str">
        <f t="shared" si="3"/>
        <v/>
      </c>
      <c r="E49" s="13" t="str">
        <f t="shared" si="0"/>
        <v/>
      </c>
      <c r="F49" s="14" t="str">
        <f t="shared" si="1"/>
        <v/>
      </c>
      <c r="G49" s="13" t="str">
        <f t="shared" si="2"/>
        <v/>
      </c>
    </row>
    <row r="50" spans="3:7" x14ac:dyDescent="0.3">
      <c r="C50" s="12">
        <v>20</v>
      </c>
      <c r="D50" s="14" t="str">
        <f t="shared" si="3"/>
        <v/>
      </c>
      <c r="E50" s="13" t="str">
        <f t="shared" si="0"/>
        <v/>
      </c>
      <c r="F50" s="14" t="str">
        <f t="shared" si="1"/>
        <v/>
      </c>
      <c r="G50" s="13" t="str">
        <f t="shared" si="2"/>
        <v/>
      </c>
    </row>
    <row r="51" spans="3:7" x14ac:dyDescent="0.3">
      <c r="C51" s="12">
        <v>21</v>
      </c>
      <c r="D51" s="14" t="str">
        <f t="shared" si="3"/>
        <v/>
      </c>
      <c r="E51" s="13" t="str">
        <f t="shared" si="0"/>
        <v/>
      </c>
      <c r="F51" s="14" t="str">
        <f t="shared" si="1"/>
        <v/>
      </c>
      <c r="G51" s="13" t="str">
        <f t="shared" si="2"/>
        <v/>
      </c>
    </row>
    <row r="52" spans="3:7" x14ac:dyDescent="0.3">
      <c r="C52" s="12">
        <v>22</v>
      </c>
      <c r="D52" s="14" t="str">
        <f t="shared" si="3"/>
        <v/>
      </c>
      <c r="E52" s="13" t="str">
        <f t="shared" si="0"/>
        <v/>
      </c>
      <c r="F52" s="14" t="str">
        <f t="shared" si="1"/>
        <v/>
      </c>
      <c r="G52" s="13" t="str">
        <f t="shared" si="2"/>
        <v/>
      </c>
    </row>
    <row r="53" spans="3:7" x14ac:dyDescent="0.3">
      <c r="C53" s="12">
        <v>23</v>
      </c>
      <c r="D53" s="14" t="str">
        <f t="shared" si="3"/>
        <v/>
      </c>
      <c r="E53" s="13" t="str">
        <f t="shared" si="0"/>
        <v/>
      </c>
      <c r="F53" s="14" t="str">
        <f t="shared" si="1"/>
        <v/>
      </c>
      <c r="G53" s="13" t="str">
        <f t="shared" si="2"/>
        <v/>
      </c>
    </row>
    <row r="54" spans="3:7" x14ac:dyDescent="0.3">
      <c r="C54" s="12">
        <v>24</v>
      </c>
      <c r="D54" s="14" t="str">
        <f t="shared" si="3"/>
        <v/>
      </c>
      <c r="E54" s="13" t="str">
        <f t="shared" si="0"/>
        <v/>
      </c>
      <c r="F54" s="14" t="str">
        <f t="shared" si="1"/>
        <v/>
      </c>
      <c r="G54" s="13" t="str">
        <f t="shared" si="2"/>
        <v/>
      </c>
    </row>
    <row r="55" spans="3:7" x14ac:dyDescent="0.3">
      <c r="C55" s="12">
        <v>25</v>
      </c>
      <c r="D55" s="14" t="str">
        <f t="shared" si="3"/>
        <v/>
      </c>
      <c r="E55" s="13" t="str">
        <f t="shared" si="0"/>
        <v/>
      </c>
      <c r="F55" s="14" t="str">
        <f t="shared" si="1"/>
        <v/>
      </c>
      <c r="G55" s="13" t="str">
        <f t="shared" si="2"/>
        <v/>
      </c>
    </row>
    <row r="56" spans="3:7" x14ac:dyDescent="0.3">
      <c r="C56" s="12">
        <v>26</v>
      </c>
      <c r="D56" s="14" t="str">
        <f t="shared" si="3"/>
        <v/>
      </c>
      <c r="E56" s="13" t="str">
        <f t="shared" si="0"/>
        <v/>
      </c>
      <c r="F56" s="14" t="str">
        <f t="shared" si="1"/>
        <v/>
      </c>
      <c r="G56" s="13" t="str">
        <f t="shared" si="2"/>
        <v/>
      </c>
    </row>
    <row r="57" spans="3:7" x14ac:dyDescent="0.3">
      <c r="C57" s="12">
        <v>27</v>
      </c>
      <c r="D57" s="14" t="str">
        <f t="shared" si="3"/>
        <v/>
      </c>
      <c r="E57" s="13" t="str">
        <f t="shared" si="0"/>
        <v/>
      </c>
      <c r="F57" s="14" t="str">
        <f t="shared" si="1"/>
        <v/>
      </c>
      <c r="G57" s="13" t="str">
        <f t="shared" si="2"/>
        <v/>
      </c>
    </row>
    <row r="58" spans="3:7" x14ac:dyDescent="0.3">
      <c r="C58" s="12">
        <v>28</v>
      </c>
      <c r="D58" s="14" t="str">
        <f t="shared" si="3"/>
        <v/>
      </c>
      <c r="E58" s="13" t="str">
        <f t="shared" si="0"/>
        <v/>
      </c>
      <c r="F58" s="14" t="str">
        <f t="shared" si="1"/>
        <v/>
      </c>
      <c r="G58" s="13" t="str">
        <f t="shared" si="2"/>
        <v/>
      </c>
    </row>
    <row r="59" spans="3:7" x14ac:dyDescent="0.3">
      <c r="C59" s="12">
        <v>29</v>
      </c>
      <c r="D59" s="14" t="str">
        <f t="shared" si="3"/>
        <v/>
      </c>
      <c r="E59" s="13" t="str">
        <f t="shared" si="0"/>
        <v/>
      </c>
      <c r="F59" s="14" t="str">
        <f t="shared" si="1"/>
        <v/>
      </c>
      <c r="G59" s="13" t="str">
        <f t="shared" si="2"/>
        <v/>
      </c>
    </row>
    <row r="60" spans="3:7" x14ac:dyDescent="0.3">
      <c r="C60" s="12">
        <v>30</v>
      </c>
      <c r="D60" s="14" t="str">
        <f t="shared" si="3"/>
        <v/>
      </c>
      <c r="E60" s="13" t="str">
        <f t="shared" si="0"/>
        <v/>
      </c>
      <c r="F60" s="14" t="str">
        <f t="shared" si="1"/>
        <v/>
      </c>
      <c r="G60" s="13" t="str">
        <f t="shared" si="2"/>
        <v/>
      </c>
    </row>
    <row r="61" spans="3:7" x14ac:dyDescent="0.3">
      <c r="C61" s="12">
        <v>31</v>
      </c>
      <c r="D61" s="14" t="str">
        <f t="shared" si="3"/>
        <v/>
      </c>
      <c r="E61" s="13" t="str">
        <f t="shared" si="0"/>
        <v/>
      </c>
      <c r="F61" s="14" t="str">
        <f t="shared" si="1"/>
        <v/>
      </c>
      <c r="G61" s="13" t="str">
        <f t="shared" si="2"/>
        <v/>
      </c>
    </row>
    <row r="62" spans="3:7" x14ac:dyDescent="0.3">
      <c r="C62" s="12">
        <v>32</v>
      </c>
      <c r="D62" s="14" t="str">
        <f t="shared" si="3"/>
        <v/>
      </c>
      <c r="E62" s="13" t="str">
        <f t="shared" si="0"/>
        <v/>
      </c>
      <c r="F62" s="14" t="str">
        <f t="shared" si="1"/>
        <v/>
      </c>
      <c r="G62" s="13" t="str">
        <f t="shared" si="2"/>
        <v/>
      </c>
    </row>
    <row r="63" spans="3:7" x14ac:dyDescent="0.3">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3">
      <c r="C64" s="12">
        <v>34</v>
      </c>
      <c r="D64" s="14" t="str">
        <f t="shared" ref="D64:D90" si="7">IF(C64&gt;Term*Periods,"",IF(C64=Term*Periods,$D$31+$F$24,$D$31))</f>
        <v/>
      </c>
      <c r="E64" s="13" t="str">
        <f t="shared" si="4"/>
        <v/>
      </c>
      <c r="F64" s="14" t="str">
        <f t="shared" si="5"/>
        <v/>
      </c>
      <c r="G64" s="13" t="str">
        <f t="shared" si="6"/>
        <v/>
      </c>
    </row>
    <row r="65" spans="3:7" x14ac:dyDescent="0.3">
      <c r="C65" s="12">
        <v>35</v>
      </c>
      <c r="D65" s="14" t="str">
        <f t="shared" si="7"/>
        <v/>
      </c>
      <c r="E65" s="13" t="str">
        <f t="shared" si="4"/>
        <v/>
      </c>
      <c r="F65" s="14" t="str">
        <f t="shared" si="5"/>
        <v/>
      </c>
      <c r="G65" s="13" t="str">
        <f t="shared" si="6"/>
        <v/>
      </c>
    </row>
    <row r="66" spans="3:7" x14ac:dyDescent="0.3">
      <c r="C66" s="12">
        <v>36</v>
      </c>
      <c r="D66" s="14" t="str">
        <f t="shared" si="7"/>
        <v/>
      </c>
      <c r="E66" s="13" t="str">
        <f t="shared" si="4"/>
        <v/>
      </c>
      <c r="F66" s="14" t="str">
        <f t="shared" si="5"/>
        <v/>
      </c>
      <c r="G66" s="13" t="str">
        <f t="shared" si="6"/>
        <v/>
      </c>
    </row>
    <row r="67" spans="3:7" x14ac:dyDescent="0.3">
      <c r="C67" s="12">
        <v>37</v>
      </c>
      <c r="D67" s="14" t="str">
        <f t="shared" si="7"/>
        <v/>
      </c>
      <c r="E67" s="13" t="str">
        <f t="shared" si="4"/>
        <v/>
      </c>
      <c r="F67" s="14" t="str">
        <f t="shared" si="5"/>
        <v/>
      </c>
      <c r="G67" s="13" t="str">
        <f t="shared" si="6"/>
        <v/>
      </c>
    </row>
    <row r="68" spans="3:7" x14ac:dyDescent="0.3">
      <c r="C68" s="12">
        <v>38</v>
      </c>
      <c r="D68" s="14" t="str">
        <f t="shared" si="7"/>
        <v/>
      </c>
      <c r="E68" s="13" t="str">
        <f t="shared" si="4"/>
        <v/>
      </c>
      <c r="F68" s="14" t="str">
        <f t="shared" si="5"/>
        <v/>
      </c>
      <c r="G68" s="13" t="str">
        <f t="shared" si="6"/>
        <v/>
      </c>
    </row>
    <row r="69" spans="3:7" x14ac:dyDescent="0.3">
      <c r="C69" s="12">
        <v>39</v>
      </c>
      <c r="D69" s="14" t="str">
        <f t="shared" si="7"/>
        <v/>
      </c>
      <c r="E69" s="13" t="str">
        <f t="shared" si="4"/>
        <v/>
      </c>
      <c r="F69" s="14" t="str">
        <f t="shared" si="5"/>
        <v/>
      </c>
      <c r="G69" s="13" t="str">
        <f t="shared" si="6"/>
        <v/>
      </c>
    </row>
    <row r="70" spans="3:7" x14ac:dyDescent="0.3">
      <c r="C70" s="12">
        <v>40</v>
      </c>
      <c r="D70" s="14" t="str">
        <f t="shared" si="7"/>
        <v/>
      </c>
      <c r="E70" s="13" t="str">
        <f t="shared" si="4"/>
        <v/>
      </c>
      <c r="F70" s="14" t="str">
        <f t="shared" si="5"/>
        <v/>
      </c>
      <c r="G70" s="13" t="str">
        <f t="shared" si="6"/>
        <v/>
      </c>
    </row>
    <row r="71" spans="3:7" x14ac:dyDescent="0.3">
      <c r="C71" s="12">
        <v>41</v>
      </c>
      <c r="D71" s="14" t="str">
        <f t="shared" si="7"/>
        <v/>
      </c>
      <c r="E71" s="13" t="str">
        <f t="shared" si="4"/>
        <v/>
      </c>
      <c r="F71" s="14" t="str">
        <f t="shared" si="5"/>
        <v/>
      </c>
      <c r="G71" s="13" t="str">
        <f t="shared" si="6"/>
        <v/>
      </c>
    </row>
    <row r="72" spans="3:7" x14ac:dyDescent="0.3">
      <c r="C72" s="12">
        <v>42</v>
      </c>
      <c r="D72" s="14" t="str">
        <f t="shared" si="7"/>
        <v/>
      </c>
      <c r="E72" s="13" t="str">
        <f t="shared" si="4"/>
        <v/>
      </c>
      <c r="F72" s="14" t="str">
        <f t="shared" si="5"/>
        <v/>
      </c>
      <c r="G72" s="13" t="str">
        <f t="shared" si="6"/>
        <v/>
      </c>
    </row>
    <row r="73" spans="3:7" x14ac:dyDescent="0.3">
      <c r="C73" s="12">
        <v>43</v>
      </c>
      <c r="D73" s="14" t="str">
        <f t="shared" si="7"/>
        <v/>
      </c>
      <c r="E73" s="13" t="str">
        <f t="shared" si="4"/>
        <v/>
      </c>
      <c r="F73" s="14" t="str">
        <f t="shared" si="5"/>
        <v/>
      </c>
      <c r="G73" s="13" t="str">
        <f t="shared" si="6"/>
        <v/>
      </c>
    </row>
    <row r="74" spans="3:7" x14ac:dyDescent="0.3">
      <c r="C74" s="12">
        <v>44</v>
      </c>
      <c r="D74" s="14" t="str">
        <f t="shared" si="7"/>
        <v/>
      </c>
      <c r="E74" s="13" t="str">
        <f t="shared" si="4"/>
        <v/>
      </c>
      <c r="F74" s="14" t="str">
        <f t="shared" si="5"/>
        <v/>
      </c>
      <c r="G74" s="13" t="str">
        <f t="shared" si="6"/>
        <v/>
      </c>
    </row>
    <row r="75" spans="3:7" x14ac:dyDescent="0.3">
      <c r="C75" s="12">
        <v>45</v>
      </c>
      <c r="D75" s="14" t="str">
        <f t="shared" si="7"/>
        <v/>
      </c>
      <c r="E75" s="13" t="str">
        <f t="shared" si="4"/>
        <v/>
      </c>
      <c r="F75" s="14" t="str">
        <f t="shared" si="5"/>
        <v/>
      </c>
      <c r="G75" s="13" t="str">
        <f t="shared" si="6"/>
        <v/>
      </c>
    </row>
    <row r="76" spans="3:7" x14ac:dyDescent="0.3">
      <c r="C76" s="12">
        <v>46</v>
      </c>
      <c r="D76" s="14" t="str">
        <f t="shared" si="7"/>
        <v/>
      </c>
      <c r="E76" s="13" t="str">
        <f t="shared" si="4"/>
        <v/>
      </c>
      <c r="F76" s="14" t="str">
        <f t="shared" si="5"/>
        <v/>
      </c>
      <c r="G76" s="13" t="str">
        <f t="shared" si="6"/>
        <v/>
      </c>
    </row>
    <row r="77" spans="3:7" x14ac:dyDescent="0.3">
      <c r="C77" s="12">
        <v>47</v>
      </c>
      <c r="D77" s="14" t="str">
        <f t="shared" si="7"/>
        <v/>
      </c>
      <c r="E77" s="13" t="str">
        <f t="shared" si="4"/>
        <v/>
      </c>
      <c r="F77" s="14" t="str">
        <f t="shared" si="5"/>
        <v/>
      </c>
      <c r="G77" s="13" t="str">
        <f t="shared" si="6"/>
        <v/>
      </c>
    </row>
    <row r="78" spans="3:7" x14ac:dyDescent="0.3">
      <c r="C78" s="12">
        <v>48</v>
      </c>
      <c r="D78" s="14" t="str">
        <f t="shared" si="7"/>
        <v/>
      </c>
      <c r="E78" s="13" t="str">
        <f t="shared" si="4"/>
        <v/>
      </c>
      <c r="F78" s="14" t="str">
        <f t="shared" si="5"/>
        <v/>
      </c>
      <c r="G78" s="13" t="str">
        <f t="shared" si="6"/>
        <v/>
      </c>
    </row>
    <row r="79" spans="3:7" x14ac:dyDescent="0.3">
      <c r="C79" s="12">
        <v>49</v>
      </c>
      <c r="D79" s="14" t="str">
        <f t="shared" si="7"/>
        <v/>
      </c>
      <c r="E79" s="13" t="str">
        <f t="shared" si="4"/>
        <v/>
      </c>
      <c r="F79" s="14" t="str">
        <f t="shared" si="5"/>
        <v/>
      </c>
      <c r="G79" s="13" t="str">
        <f t="shared" si="6"/>
        <v/>
      </c>
    </row>
    <row r="80" spans="3:7" x14ac:dyDescent="0.3">
      <c r="C80" s="12">
        <v>50</v>
      </c>
      <c r="D80" s="14" t="str">
        <f t="shared" si="7"/>
        <v/>
      </c>
      <c r="E80" s="13" t="str">
        <f t="shared" si="4"/>
        <v/>
      </c>
      <c r="F80" s="14" t="str">
        <f t="shared" si="5"/>
        <v/>
      </c>
      <c r="G80" s="13" t="str">
        <f t="shared" si="6"/>
        <v/>
      </c>
    </row>
    <row r="81" spans="3:7" x14ac:dyDescent="0.3">
      <c r="C81" s="12">
        <v>51</v>
      </c>
      <c r="D81" s="14" t="str">
        <f t="shared" si="7"/>
        <v/>
      </c>
      <c r="E81" s="13" t="str">
        <f t="shared" si="4"/>
        <v/>
      </c>
      <c r="F81" s="14" t="str">
        <f t="shared" si="5"/>
        <v/>
      </c>
      <c r="G81" s="13" t="str">
        <f t="shared" si="6"/>
        <v/>
      </c>
    </row>
    <row r="82" spans="3:7" x14ac:dyDescent="0.3">
      <c r="C82" s="12">
        <v>52</v>
      </c>
      <c r="D82" s="14" t="str">
        <f t="shared" si="7"/>
        <v/>
      </c>
      <c r="E82" s="13" t="str">
        <f t="shared" si="4"/>
        <v/>
      </c>
      <c r="F82" s="14" t="str">
        <f t="shared" si="5"/>
        <v/>
      </c>
      <c r="G82" s="13" t="str">
        <f t="shared" si="6"/>
        <v/>
      </c>
    </row>
    <row r="83" spans="3:7" x14ac:dyDescent="0.3">
      <c r="C83" s="12">
        <v>53</v>
      </c>
      <c r="D83" s="14" t="str">
        <f t="shared" si="7"/>
        <v/>
      </c>
      <c r="E83" s="13" t="str">
        <f t="shared" si="4"/>
        <v/>
      </c>
      <c r="F83" s="14" t="str">
        <f t="shared" si="5"/>
        <v/>
      </c>
      <c r="G83" s="13" t="str">
        <f t="shared" si="6"/>
        <v/>
      </c>
    </row>
    <row r="84" spans="3:7" x14ac:dyDescent="0.3">
      <c r="C84" s="12">
        <v>54</v>
      </c>
      <c r="D84" s="14" t="str">
        <f t="shared" si="7"/>
        <v/>
      </c>
      <c r="E84" s="13" t="str">
        <f t="shared" si="4"/>
        <v/>
      </c>
      <c r="F84" s="14" t="str">
        <f t="shared" si="5"/>
        <v/>
      </c>
      <c r="G84" s="13" t="str">
        <f t="shared" si="6"/>
        <v/>
      </c>
    </row>
    <row r="85" spans="3:7" x14ac:dyDescent="0.3">
      <c r="C85" s="12">
        <v>55</v>
      </c>
      <c r="D85" s="14" t="str">
        <f t="shared" si="7"/>
        <v/>
      </c>
      <c r="E85" s="13" t="str">
        <f t="shared" si="4"/>
        <v/>
      </c>
      <c r="F85" s="14" t="str">
        <f t="shared" si="5"/>
        <v/>
      </c>
      <c r="G85" s="13" t="str">
        <f t="shared" si="6"/>
        <v/>
      </c>
    </row>
    <row r="86" spans="3:7" x14ac:dyDescent="0.3">
      <c r="C86" s="12">
        <v>56</v>
      </c>
      <c r="D86" s="14" t="str">
        <f t="shared" si="7"/>
        <v/>
      </c>
      <c r="E86" s="13" t="str">
        <f t="shared" si="4"/>
        <v/>
      </c>
      <c r="F86" s="14" t="str">
        <f t="shared" si="5"/>
        <v/>
      </c>
      <c r="G86" s="13" t="str">
        <f t="shared" si="6"/>
        <v/>
      </c>
    </row>
    <row r="87" spans="3:7" x14ac:dyDescent="0.3">
      <c r="C87" s="12">
        <v>57</v>
      </c>
      <c r="D87" s="14" t="str">
        <f t="shared" si="7"/>
        <v/>
      </c>
      <c r="E87" s="13" t="str">
        <f t="shared" si="4"/>
        <v/>
      </c>
      <c r="F87" s="14" t="str">
        <f t="shared" si="5"/>
        <v/>
      </c>
      <c r="G87" s="13" t="str">
        <f t="shared" si="6"/>
        <v/>
      </c>
    </row>
    <row r="88" spans="3:7" x14ac:dyDescent="0.3">
      <c r="C88" s="12">
        <v>58</v>
      </c>
      <c r="D88" s="14" t="str">
        <f t="shared" si="7"/>
        <v/>
      </c>
      <c r="E88" s="13" t="str">
        <f t="shared" si="4"/>
        <v/>
      </c>
      <c r="F88" s="14" t="str">
        <f t="shared" si="5"/>
        <v/>
      </c>
      <c r="G88" s="13" t="str">
        <f t="shared" si="6"/>
        <v/>
      </c>
    </row>
    <row r="89" spans="3:7" x14ac:dyDescent="0.3">
      <c r="C89" s="12">
        <v>59</v>
      </c>
      <c r="D89" s="14" t="str">
        <f t="shared" si="7"/>
        <v/>
      </c>
      <c r="E89" s="13" t="str">
        <f t="shared" si="4"/>
        <v/>
      </c>
      <c r="F89" s="14" t="str">
        <f t="shared" si="5"/>
        <v/>
      </c>
      <c r="G89" s="13" t="str">
        <f t="shared" si="6"/>
        <v/>
      </c>
    </row>
    <row r="90" spans="3:7" x14ac:dyDescent="0.3">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0.05</formula1>
      <formula2>0.15</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topLeftCell="A13" zoomScale="115" zoomScaleNormal="115" workbookViewId="0">
      <selection activeCell="C28" sqref="C28"/>
    </sheetView>
  </sheetViews>
  <sheetFormatPr defaultColWidth="8.77734375" defaultRowHeight="14.4" x14ac:dyDescent="0.3"/>
  <cols>
    <col min="1" max="1" width="8.77734375" style="46"/>
    <col min="2" max="2" width="29.21875" style="46" customWidth="1"/>
    <col min="3" max="3" width="12.77734375" style="46" customWidth="1"/>
    <col min="4" max="4" width="2.5546875" style="46" customWidth="1"/>
    <col min="5" max="5" width="15.77734375" style="46" customWidth="1"/>
    <col min="6" max="6" width="24" style="46" customWidth="1"/>
    <col min="7" max="7" width="18.44140625" style="46" customWidth="1"/>
    <col min="8" max="16384" width="8.77734375" style="46"/>
  </cols>
  <sheetData>
    <row r="18" spans="2:7" ht="15.75" thickBot="1" x14ac:dyDescent="0.3">
      <c r="B18" s="46" t="s">
        <v>65</v>
      </c>
      <c r="C18" s="47">
        <v>60000</v>
      </c>
      <c r="E18" s="46" t="s">
        <v>86</v>
      </c>
    </row>
    <row r="19" spans="2:7" ht="15.75" thickBot="1" x14ac:dyDescent="0.3">
      <c r="B19" s="46" t="s">
        <v>66</v>
      </c>
      <c r="C19" s="44">
        <v>20</v>
      </c>
      <c r="E19" s="46" t="s">
        <v>87</v>
      </c>
      <c r="G19" s="52">
        <f>PMT(C20/12,C19*12,-C18)</f>
        <v>447.34388130905819</v>
      </c>
    </row>
    <row r="20" spans="2:7" ht="15" x14ac:dyDescent="0.25">
      <c r="B20" s="46" t="s">
        <v>16</v>
      </c>
      <c r="C20" s="55">
        <v>6.5000000000000002E-2</v>
      </c>
    </row>
    <row r="21" spans="2:7" ht="15" x14ac:dyDescent="0.25">
      <c r="B21" s="46" t="s">
        <v>67</v>
      </c>
      <c r="C21" s="47">
        <v>1200</v>
      </c>
      <c r="E21" s="46" t="s">
        <v>85</v>
      </c>
    </row>
    <row r="22" spans="2:7" ht="15" thickBot="1" x14ac:dyDescent="0.4">
      <c r="E22" s="46" t="s">
        <v>68</v>
      </c>
    </row>
    <row r="23" spans="2:7" ht="15" thickBot="1" x14ac:dyDescent="0.4">
      <c r="E23" s="46" t="s">
        <v>88</v>
      </c>
      <c r="G23" s="105">
        <f>NPER(C20/12,G19+C21,-C18)</f>
        <v>40.680560387308908</v>
      </c>
    </row>
    <row r="25" spans="2:7" ht="14.55" x14ac:dyDescent="0.35">
      <c r="E25" s="46" t="s">
        <v>69</v>
      </c>
    </row>
    <row r="26" spans="2:7" ht="14.55" x14ac:dyDescent="0.35">
      <c r="E26" s="46" t="s">
        <v>70</v>
      </c>
    </row>
    <row r="27" spans="2:7" ht="14.55" x14ac:dyDescent="0.35">
      <c r="E27" s="46" t="s">
        <v>71</v>
      </c>
    </row>
    <row r="28" spans="2:7" ht="14.55" x14ac:dyDescent="0.35">
      <c r="E28" s="46" t="s">
        <v>72</v>
      </c>
    </row>
    <row r="29" spans="2:7" ht="14.55" x14ac:dyDescent="0.35">
      <c r="E29" s="46" t="s">
        <v>73</v>
      </c>
    </row>
    <row r="30" spans="2:7" ht="15" thickBot="1" x14ac:dyDescent="0.4">
      <c r="E30" s="46" t="s">
        <v>74</v>
      </c>
    </row>
    <row r="31" spans="2:7" ht="15" thickBot="1" x14ac:dyDescent="0.4">
      <c r="E31" s="46" t="s">
        <v>75</v>
      </c>
      <c r="G31" s="5">
        <f>(G19*C19*12)-(G23*(G19+C21))</f>
        <v>40347.659271916971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topLeftCell="A16" workbookViewId="0">
      <selection activeCell="H48" sqref="H48"/>
    </sheetView>
  </sheetViews>
  <sheetFormatPr defaultRowHeight="14.4" x14ac:dyDescent="0.3"/>
  <cols>
    <col min="1" max="1" width="4.44140625" customWidth="1"/>
    <col min="7" max="7" width="10.6640625" customWidth="1"/>
    <col min="8" max="8" width="14.5546875" customWidth="1"/>
    <col min="13" max="13" width="11.6640625" customWidth="1"/>
    <col min="14" max="14" width="17" style="104" customWidth="1"/>
    <col min="15" max="15" width="14.44140625" customWidth="1"/>
    <col min="16" max="16" width="15.109375" customWidth="1"/>
  </cols>
  <sheetData>
    <row r="2" spans="2:16" ht="14.55" x14ac:dyDescent="0.35">
      <c r="B2" s="108" t="s">
        <v>112</v>
      </c>
      <c r="C2" s="57"/>
      <c r="D2" s="57"/>
      <c r="E2" s="57"/>
      <c r="F2" s="57"/>
      <c r="G2" s="57"/>
      <c r="H2" s="57"/>
      <c r="I2" s="57"/>
      <c r="J2" s="57"/>
      <c r="K2" s="57"/>
    </row>
    <row r="3" spans="2:16" ht="14.55" x14ac:dyDescent="0.35">
      <c r="B3" s="108" t="s">
        <v>241</v>
      </c>
      <c r="C3" s="57"/>
      <c r="D3" s="57"/>
      <c r="E3" s="57"/>
      <c r="F3" s="57"/>
      <c r="G3" s="57"/>
      <c r="H3" s="57"/>
      <c r="I3" s="57"/>
      <c r="J3" s="57"/>
      <c r="K3" s="57"/>
    </row>
    <row r="4" spans="2:16" ht="14.55" x14ac:dyDescent="0.35">
      <c r="B4" s="108" t="s">
        <v>242</v>
      </c>
      <c r="C4" s="57"/>
      <c r="D4" s="57"/>
      <c r="E4" s="57"/>
      <c r="F4" s="57"/>
      <c r="G4" s="57"/>
      <c r="H4" s="57"/>
      <c r="I4" s="57"/>
      <c r="J4" s="57"/>
      <c r="K4" s="57"/>
    </row>
    <row r="5" spans="2:16" ht="24" customHeight="1" x14ac:dyDescent="0.35">
      <c r="B5" s="108" t="s">
        <v>243</v>
      </c>
      <c r="C5" s="57"/>
      <c r="D5" s="57"/>
      <c r="E5" s="57"/>
      <c r="F5" s="57"/>
      <c r="G5" s="57"/>
      <c r="H5" s="57"/>
      <c r="I5" s="57"/>
      <c r="J5" s="57"/>
      <c r="K5" s="57"/>
    </row>
    <row r="6" spans="2:16" ht="14.55" x14ac:dyDescent="0.35">
      <c r="B6" s="108" t="s">
        <v>244</v>
      </c>
      <c r="C6" s="57"/>
      <c r="D6" s="57"/>
      <c r="E6" s="57"/>
      <c r="F6" s="57"/>
      <c r="G6" s="57"/>
      <c r="H6" s="57"/>
      <c r="I6" s="57"/>
      <c r="J6" s="57"/>
      <c r="K6" s="57"/>
    </row>
    <row r="7" spans="2:16" ht="14.55" x14ac:dyDescent="0.35">
      <c r="B7" s="108" t="s">
        <v>211</v>
      </c>
      <c r="C7" s="57"/>
      <c r="D7" s="57"/>
      <c r="E7" s="57"/>
      <c r="F7" s="57"/>
      <c r="G7" s="57"/>
      <c r="H7" s="57"/>
      <c r="I7" s="57"/>
      <c r="J7" s="57"/>
      <c r="K7" s="57"/>
    </row>
    <row r="8" spans="2:16" ht="9" customHeight="1" x14ac:dyDescent="0.35">
      <c r="B8" s="108"/>
      <c r="C8" s="57"/>
      <c r="D8" s="57"/>
      <c r="E8" s="57"/>
      <c r="F8" s="57"/>
      <c r="G8" s="57"/>
      <c r="H8" s="57"/>
      <c r="I8" s="57"/>
      <c r="J8" s="57"/>
      <c r="K8" s="57"/>
    </row>
    <row r="9" spans="2:16" ht="14.55" x14ac:dyDescent="0.35">
      <c r="B9" s="108" t="s">
        <v>212</v>
      </c>
      <c r="C9" s="57"/>
      <c r="D9" s="57"/>
      <c r="E9" s="57"/>
      <c r="F9" s="57"/>
      <c r="G9" s="57"/>
      <c r="H9" s="57"/>
      <c r="I9" s="57"/>
      <c r="J9" s="57"/>
      <c r="K9" s="57"/>
    </row>
    <row r="10" spans="2:16" ht="14.55" x14ac:dyDescent="0.35">
      <c r="B10" s="108" t="s">
        <v>213</v>
      </c>
      <c r="C10" s="57"/>
      <c r="D10" s="57"/>
      <c r="E10" s="57"/>
      <c r="F10" s="57"/>
      <c r="G10" s="57"/>
      <c r="H10" s="57"/>
      <c r="I10" s="57"/>
      <c r="J10" s="57"/>
      <c r="K10" s="57"/>
    </row>
    <row r="11" spans="2:16" ht="14.55" x14ac:dyDescent="0.35">
      <c r="B11" s="108" t="s">
        <v>214</v>
      </c>
      <c r="C11" s="57"/>
      <c r="D11" s="57"/>
      <c r="E11" s="57"/>
      <c r="F11" s="57"/>
      <c r="G11" s="57"/>
      <c r="H11" s="57"/>
      <c r="I11" s="57"/>
      <c r="J11" s="57"/>
      <c r="K11" s="57"/>
      <c r="O11" s="102"/>
      <c r="P11" s="102"/>
    </row>
    <row r="12" spans="2:16" s="101" customFormat="1" ht="8.5500000000000007" customHeight="1" x14ac:dyDescent="0.35">
      <c r="B12" s="108"/>
      <c r="N12" s="104"/>
      <c r="O12" s="102"/>
      <c r="P12" s="102"/>
    </row>
    <row r="13" spans="2:16" s="101" customFormat="1" ht="14.55" x14ac:dyDescent="0.35">
      <c r="B13" s="108" t="s">
        <v>113</v>
      </c>
      <c r="N13" s="104"/>
      <c r="O13" s="102"/>
      <c r="P13" s="102"/>
    </row>
    <row r="14" spans="2:16" s="101" customFormat="1" ht="14.55" x14ac:dyDescent="0.35">
      <c r="B14" s="108" t="s">
        <v>114</v>
      </c>
      <c r="N14" s="104"/>
      <c r="O14" s="102"/>
      <c r="P14" s="102"/>
    </row>
    <row r="15" spans="2:16" s="101" customFormat="1" ht="15" thickBot="1" x14ac:dyDescent="0.4">
      <c r="N15" s="104"/>
      <c r="O15" s="102"/>
      <c r="P15" s="102"/>
    </row>
    <row r="16" spans="2:16" ht="15" thickBot="1" x14ac:dyDescent="0.4">
      <c r="B16" s="57"/>
      <c r="C16" s="57" t="s">
        <v>115</v>
      </c>
      <c r="D16" s="57"/>
      <c r="E16" s="57"/>
      <c r="F16" s="57"/>
      <c r="G16" s="57"/>
      <c r="H16" s="61">
        <v>6.7500000000000004E-2</v>
      </c>
      <c r="I16" s="57"/>
      <c r="J16" s="57"/>
      <c r="K16" s="57"/>
      <c r="O16" s="102" t="s">
        <v>205</v>
      </c>
      <c r="P16" s="102" t="s">
        <v>207</v>
      </c>
    </row>
    <row r="17" spans="2:16" ht="15" thickBot="1" x14ac:dyDescent="0.4">
      <c r="B17" s="59"/>
      <c r="C17" s="59"/>
      <c r="D17" s="59"/>
      <c r="E17" s="59"/>
      <c r="F17" s="59"/>
      <c r="G17" s="59"/>
      <c r="H17" s="59"/>
      <c r="I17" s="59"/>
      <c r="J17" s="59"/>
      <c r="K17" s="59"/>
      <c r="L17" s="122" t="s">
        <v>238</v>
      </c>
      <c r="M17" s="102" t="s">
        <v>208</v>
      </c>
      <c r="N17" s="102" t="s">
        <v>209</v>
      </c>
      <c r="O17" s="102" t="s">
        <v>206</v>
      </c>
      <c r="P17" s="102" t="s">
        <v>14</v>
      </c>
    </row>
    <row r="18" spans="2:16" ht="15" thickBot="1" x14ac:dyDescent="0.4">
      <c r="B18" s="137" t="s">
        <v>116</v>
      </c>
      <c r="C18" s="137"/>
      <c r="D18" s="137"/>
      <c r="E18" s="137"/>
      <c r="F18" s="137"/>
      <c r="G18" s="137"/>
      <c r="H18" s="137"/>
      <c r="I18" s="137"/>
      <c r="J18" s="137"/>
      <c r="K18" s="137"/>
      <c r="L18">
        <v>0</v>
      </c>
      <c r="M18" s="103">
        <v>41275</v>
      </c>
      <c r="N18" s="104" t="s">
        <v>154</v>
      </c>
      <c r="O18" s="58">
        <v>40000</v>
      </c>
      <c r="P18" s="58">
        <f>O18</f>
        <v>40000</v>
      </c>
    </row>
    <row r="19" spans="2:16" ht="14.55" x14ac:dyDescent="0.35">
      <c r="L19">
        <v>1</v>
      </c>
      <c r="M19" s="103">
        <v>41640</v>
      </c>
      <c r="N19" s="104" t="s">
        <v>155</v>
      </c>
      <c r="O19" s="58">
        <f>H26</f>
        <v>15589.182826245986</v>
      </c>
      <c r="P19" s="58">
        <f>O19+(P18*(1+$H$16))</f>
        <v>58289.182826245975</v>
      </c>
    </row>
    <row r="20" spans="2:16" ht="14.55" x14ac:dyDescent="0.35">
      <c r="C20" s="60" t="s">
        <v>117</v>
      </c>
      <c r="D20" t="s">
        <v>253</v>
      </c>
      <c r="H20" s="58">
        <f>-PV(H16,30,200000,0)</f>
        <v>2545431.0147485654</v>
      </c>
      <c r="L20">
        <v>2</v>
      </c>
      <c r="M20" s="103">
        <v>42005</v>
      </c>
      <c r="N20" s="104" t="s">
        <v>156</v>
      </c>
      <c r="O20" s="58">
        <f t="shared" ref="O20:O50" si="0">O19</f>
        <v>15589.182826245986</v>
      </c>
      <c r="P20" s="58">
        <f t="shared" ref="P20:P83" si="1">O20+(P19*(1+$H$16))</f>
        <v>77812.885493263559</v>
      </c>
    </row>
    <row r="21" spans="2:16" ht="14.55" x14ac:dyDescent="0.35">
      <c r="L21" s="120">
        <v>3</v>
      </c>
      <c r="M21" s="103">
        <v>42370</v>
      </c>
      <c r="N21" s="104" t="s">
        <v>157</v>
      </c>
      <c r="O21" s="58">
        <f t="shared" si="0"/>
        <v>15589.182826245986</v>
      </c>
      <c r="P21" s="58">
        <f t="shared" si="1"/>
        <v>98654.43809030483</v>
      </c>
    </row>
    <row r="22" spans="2:16" ht="14.55" x14ac:dyDescent="0.35">
      <c r="C22" s="60" t="s">
        <v>118</v>
      </c>
      <c r="D22" t="s">
        <v>252</v>
      </c>
      <c r="H22" s="58">
        <f>-PV(H16,36,0,H20)</f>
        <v>242391.57373392041</v>
      </c>
      <c r="L22" s="120">
        <v>4</v>
      </c>
      <c r="M22" s="103">
        <v>42736</v>
      </c>
      <c r="N22" s="104" t="s">
        <v>158</v>
      </c>
      <c r="O22" s="58">
        <f t="shared" si="0"/>
        <v>15589.182826245986</v>
      </c>
      <c r="P22" s="58">
        <f t="shared" si="1"/>
        <v>120902.79548764638</v>
      </c>
    </row>
    <row r="23" spans="2:16" ht="14.55" x14ac:dyDescent="0.35">
      <c r="L23" s="120">
        <v>5</v>
      </c>
      <c r="M23" s="103">
        <v>43101</v>
      </c>
      <c r="N23" s="104" t="s">
        <v>159</v>
      </c>
      <c r="O23" s="58">
        <f t="shared" si="0"/>
        <v>15589.182826245986</v>
      </c>
      <c r="P23" s="58">
        <f t="shared" si="1"/>
        <v>144652.91700930847</v>
      </c>
    </row>
    <row r="24" spans="2:16" ht="14.55" x14ac:dyDescent="0.35">
      <c r="C24" t="s">
        <v>119</v>
      </c>
      <c r="D24" t="s">
        <v>215</v>
      </c>
      <c r="H24" s="107">
        <f>H22-40000</f>
        <v>202391.57373392041</v>
      </c>
      <c r="L24" s="120">
        <v>6</v>
      </c>
      <c r="M24" s="103">
        <v>43466</v>
      </c>
      <c r="N24" s="104" t="s">
        <v>160</v>
      </c>
      <c r="O24" s="58">
        <f t="shared" si="0"/>
        <v>15589.182826245986</v>
      </c>
      <c r="P24" s="58">
        <f t="shared" si="1"/>
        <v>170006.17173368277</v>
      </c>
    </row>
    <row r="25" spans="2:16" ht="14.55" x14ac:dyDescent="0.35">
      <c r="L25" s="120">
        <v>7</v>
      </c>
      <c r="M25" s="103">
        <v>43831</v>
      </c>
      <c r="N25" s="104" t="s">
        <v>161</v>
      </c>
      <c r="O25" s="58">
        <f t="shared" si="0"/>
        <v>15589.182826245986</v>
      </c>
      <c r="P25" s="58">
        <f t="shared" si="1"/>
        <v>197070.77115195233</v>
      </c>
    </row>
    <row r="26" spans="2:16" ht="14.55" x14ac:dyDescent="0.35">
      <c r="C26" s="60" t="s">
        <v>119</v>
      </c>
      <c r="D26" t="s">
        <v>254</v>
      </c>
      <c r="H26" s="58">
        <f>PMT(H16,32,-H24,0)</f>
        <v>15589.182826245986</v>
      </c>
      <c r="I26" s="60" t="s">
        <v>120</v>
      </c>
      <c r="L26" s="120">
        <v>8</v>
      </c>
      <c r="M26" s="103">
        <v>44197</v>
      </c>
      <c r="N26" s="104" t="s">
        <v>162</v>
      </c>
      <c r="O26" s="58">
        <f t="shared" si="0"/>
        <v>15589.182826245986</v>
      </c>
      <c r="P26" s="58">
        <f t="shared" si="1"/>
        <v>225962.23103095507</v>
      </c>
    </row>
    <row r="27" spans="2:16" ht="14.55" x14ac:dyDescent="0.35">
      <c r="D27" t="s">
        <v>216</v>
      </c>
      <c r="L27" s="120">
        <v>9</v>
      </c>
      <c r="M27" s="103">
        <v>44562</v>
      </c>
      <c r="N27" s="104" t="s">
        <v>163</v>
      </c>
      <c r="O27" s="58">
        <f t="shared" si="0"/>
        <v>15589.182826245986</v>
      </c>
      <c r="P27" s="58">
        <f t="shared" si="1"/>
        <v>256803.86445179049</v>
      </c>
    </row>
    <row r="28" spans="2:16" ht="14.55" x14ac:dyDescent="0.35">
      <c r="L28" s="120">
        <v>10</v>
      </c>
      <c r="M28" s="103">
        <v>44927</v>
      </c>
      <c r="N28" s="104" t="s">
        <v>164</v>
      </c>
      <c r="O28" s="58">
        <f t="shared" si="0"/>
        <v>15589.182826245986</v>
      </c>
      <c r="P28" s="58">
        <f t="shared" si="1"/>
        <v>289727.30812853226</v>
      </c>
    </row>
    <row r="29" spans="2:16" ht="14.55" x14ac:dyDescent="0.35">
      <c r="L29" s="120">
        <v>11</v>
      </c>
      <c r="M29" s="103">
        <v>45292</v>
      </c>
      <c r="N29" s="104" t="s">
        <v>165</v>
      </c>
      <c r="O29" s="58">
        <f t="shared" si="0"/>
        <v>15589.182826245986</v>
      </c>
      <c r="P29" s="58">
        <f t="shared" si="1"/>
        <v>324873.08425345412</v>
      </c>
    </row>
    <row r="30" spans="2:16" ht="14.55" x14ac:dyDescent="0.35">
      <c r="L30" s="120">
        <v>12</v>
      </c>
      <c r="M30" s="103">
        <v>45658</v>
      </c>
      <c r="N30" s="104" t="s">
        <v>166</v>
      </c>
      <c r="O30" s="58">
        <f t="shared" si="0"/>
        <v>15589.182826245986</v>
      </c>
      <c r="P30" s="58">
        <f t="shared" si="1"/>
        <v>362391.20026680821</v>
      </c>
    </row>
    <row r="31" spans="2:16" ht="14.55" x14ac:dyDescent="0.35">
      <c r="L31" s="120">
        <v>13</v>
      </c>
      <c r="M31" s="103">
        <v>46023</v>
      </c>
      <c r="N31" s="104" t="s">
        <v>167</v>
      </c>
      <c r="O31" s="58">
        <f t="shared" si="0"/>
        <v>15589.182826245986</v>
      </c>
      <c r="P31" s="58">
        <f t="shared" si="1"/>
        <v>402441.7891110637</v>
      </c>
    </row>
    <row r="32" spans="2:16" ht="14.55" x14ac:dyDescent="0.35">
      <c r="L32" s="120">
        <v>14</v>
      </c>
      <c r="M32" s="103">
        <v>46388</v>
      </c>
      <c r="N32" s="104" t="s">
        <v>168</v>
      </c>
      <c r="O32" s="58">
        <f t="shared" si="0"/>
        <v>15589.182826245986</v>
      </c>
      <c r="P32" s="58">
        <f t="shared" si="1"/>
        <v>445195.79270230641</v>
      </c>
    </row>
    <row r="33" spans="12:16" ht="14.55" x14ac:dyDescent="0.35">
      <c r="L33" s="120">
        <v>15</v>
      </c>
      <c r="M33" s="103">
        <v>46753</v>
      </c>
      <c r="N33" s="104" t="s">
        <v>169</v>
      </c>
      <c r="O33" s="58">
        <f t="shared" si="0"/>
        <v>15589.182826245986</v>
      </c>
      <c r="P33" s="58">
        <f t="shared" si="1"/>
        <v>490835.69153595803</v>
      </c>
    </row>
    <row r="34" spans="12:16" ht="14.55" x14ac:dyDescent="0.35">
      <c r="L34" s="120">
        <v>16</v>
      </c>
      <c r="M34" s="103">
        <v>47119</v>
      </c>
      <c r="N34" s="104" t="s">
        <v>170</v>
      </c>
      <c r="O34" s="58">
        <f t="shared" si="0"/>
        <v>15589.182826245986</v>
      </c>
      <c r="P34" s="58">
        <f t="shared" si="1"/>
        <v>539556.28354088112</v>
      </c>
    </row>
    <row r="35" spans="12:16" x14ac:dyDescent="0.3">
      <c r="L35" s="120">
        <v>17</v>
      </c>
      <c r="M35" s="103">
        <v>47484</v>
      </c>
      <c r="N35" s="104" t="s">
        <v>171</v>
      </c>
      <c r="O35" s="58">
        <f t="shared" si="0"/>
        <v>15589.182826245986</v>
      </c>
      <c r="P35" s="58">
        <f t="shared" si="1"/>
        <v>591565.51550613658</v>
      </c>
    </row>
    <row r="36" spans="12:16" x14ac:dyDescent="0.3">
      <c r="L36" s="120">
        <v>18</v>
      </c>
      <c r="M36" s="103">
        <v>47849</v>
      </c>
      <c r="N36" s="104" t="s">
        <v>172</v>
      </c>
      <c r="O36" s="58">
        <f t="shared" si="0"/>
        <v>15589.182826245986</v>
      </c>
      <c r="P36" s="58">
        <f t="shared" si="1"/>
        <v>647085.37062904681</v>
      </c>
    </row>
    <row r="37" spans="12:16" x14ac:dyDescent="0.3">
      <c r="L37" s="120">
        <v>19</v>
      </c>
      <c r="M37" s="103">
        <v>48214</v>
      </c>
      <c r="N37" s="104" t="s">
        <v>173</v>
      </c>
      <c r="O37" s="58">
        <f t="shared" si="0"/>
        <v>15589.182826245986</v>
      </c>
      <c r="P37" s="58">
        <f t="shared" si="1"/>
        <v>706352.81597275345</v>
      </c>
    </row>
    <row r="38" spans="12:16" x14ac:dyDescent="0.3">
      <c r="L38" s="120">
        <v>20</v>
      </c>
      <c r="M38" s="103">
        <v>48580</v>
      </c>
      <c r="N38" s="104" t="s">
        <v>174</v>
      </c>
      <c r="O38" s="58">
        <f t="shared" si="0"/>
        <v>15589.182826245986</v>
      </c>
      <c r="P38" s="58">
        <f t="shared" si="1"/>
        <v>769620.8138771602</v>
      </c>
    </row>
    <row r="39" spans="12:16" x14ac:dyDescent="0.3">
      <c r="L39" s="120">
        <v>21</v>
      </c>
      <c r="M39" s="103">
        <v>48945</v>
      </c>
      <c r="N39" s="104" t="s">
        <v>175</v>
      </c>
      <c r="O39" s="58">
        <f t="shared" si="0"/>
        <v>15589.182826245986</v>
      </c>
      <c r="P39" s="58">
        <f t="shared" si="1"/>
        <v>837159.40164011449</v>
      </c>
    </row>
    <row r="40" spans="12:16" x14ac:dyDescent="0.3">
      <c r="L40" s="120">
        <v>22</v>
      </c>
      <c r="M40" s="103">
        <v>49310</v>
      </c>
      <c r="N40" s="104" t="s">
        <v>176</v>
      </c>
      <c r="O40" s="58">
        <f t="shared" si="0"/>
        <v>15589.182826245986</v>
      </c>
      <c r="P40" s="58">
        <f t="shared" si="1"/>
        <v>909256.84407706815</v>
      </c>
    </row>
    <row r="41" spans="12:16" x14ac:dyDescent="0.3">
      <c r="L41" s="120">
        <v>23</v>
      </c>
      <c r="M41" s="103">
        <v>49675</v>
      </c>
      <c r="N41" s="104" t="s">
        <v>177</v>
      </c>
      <c r="O41" s="58">
        <f t="shared" si="0"/>
        <v>15589.182826245986</v>
      </c>
      <c r="P41" s="58">
        <f t="shared" si="1"/>
        <v>986220.86387851613</v>
      </c>
    </row>
    <row r="42" spans="12:16" x14ac:dyDescent="0.3">
      <c r="L42" s="120">
        <v>24</v>
      </c>
      <c r="M42" s="103">
        <v>50041</v>
      </c>
      <c r="N42" s="104" t="s">
        <v>178</v>
      </c>
      <c r="O42" s="58">
        <f t="shared" si="0"/>
        <v>15589.182826245986</v>
      </c>
      <c r="P42" s="58">
        <f t="shared" si="1"/>
        <v>1068379.9550165618</v>
      </c>
    </row>
    <row r="43" spans="12:16" x14ac:dyDescent="0.3">
      <c r="L43" s="120">
        <v>25</v>
      </c>
      <c r="M43" s="103">
        <v>50406</v>
      </c>
      <c r="N43" s="104" t="s">
        <v>179</v>
      </c>
      <c r="O43" s="58">
        <f t="shared" si="0"/>
        <v>15589.182826245986</v>
      </c>
      <c r="P43" s="58">
        <f t="shared" si="1"/>
        <v>1156084.7848064255</v>
      </c>
    </row>
    <row r="44" spans="12:16" x14ac:dyDescent="0.3">
      <c r="L44" s="120">
        <v>26</v>
      </c>
      <c r="M44" s="103">
        <v>50771</v>
      </c>
      <c r="N44" s="104" t="s">
        <v>180</v>
      </c>
      <c r="O44" s="58">
        <f t="shared" si="0"/>
        <v>15589.182826245986</v>
      </c>
      <c r="P44" s="58">
        <f t="shared" si="1"/>
        <v>1249709.6906071049</v>
      </c>
    </row>
    <row r="45" spans="12:16" x14ac:dyDescent="0.3">
      <c r="L45" s="120">
        <v>27</v>
      </c>
      <c r="M45" s="103">
        <v>51136</v>
      </c>
      <c r="N45" s="104" t="s">
        <v>181</v>
      </c>
      <c r="O45" s="58">
        <f t="shared" si="0"/>
        <v>15589.182826245986</v>
      </c>
      <c r="P45" s="58">
        <f t="shared" si="1"/>
        <v>1349654.2775493304</v>
      </c>
    </row>
    <row r="46" spans="12:16" x14ac:dyDescent="0.3">
      <c r="L46" s="120">
        <v>28</v>
      </c>
      <c r="M46" s="103">
        <v>51502</v>
      </c>
      <c r="N46" s="104" t="s">
        <v>182</v>
      </c>
      <c r="O46" s="58">
        <f t="shared" si="0"/>
        <v>15589.182826245986</v>
      </c>
      <c r="P46" s="58">
        <f t="shared" si="1"/>
        <v>1456345.124110156</v>
      </c>
    </row>
    <row r="47" spans="12:16" x14ac:dyDescent="0.3">
      <c r="L47" s="120">
        <v>29</v>
      </c>
      <c r="M47" s="103">
        <v>51867</v>
      </c>
      <c r="N47" s="104" t="s">
        <v>183</v>
      </c>
      <c r="O47" s="58">
        <f t="shared" si="0"/>
        <v>15589.182826245986</v>
      </c>
      <c r="P47" s="58">
        <f t="shared" si="1"/>
        <v>1570237.6028138374</v>
      </c>
    </row>
    <row r="48" spans="12:16" x14ac:dyDescent="0.3">
      <c r="L48" s="120">
        <v>30</v>
      </c>
      <c r="M48" s="103">
        <v>52232</v>
      </c>
      <c r="N48" s="104" t="s">
        <v>184</v>
      </c>
      <c r="O48" s="58">
        <f t="shared" si="0"/>
        <v>15589.182826245986</v>
      </c>
      <c r="P48" s="58">
        <f t="shared" si="1"/>
        <v>1691817.8238300171</v>
      </c>
    </row>
    <row r="49" spans="8:16" x14ac:dyDescent="0.3">
      <c r="L49" s="120">
        <v>31</v>
      </c>
      <c r="M49" s="103">
        <v>52597</v>
      </c>
      <c r="N49" s="104" t="s">
        <v>245</v>
      </c>
      <c r="O49" s="116">
        <f t="shared" si="0"/>
        <v>15589.182826245986</v>
      </c>
      <c r="P49" s="116">
        <f t="shared" si="1"/>
        <v>1821604.7097647891</v>
      </c>
    </row>
    <row r="50" spans="8:16" x14ac:dyDescent="0.3">
      <c r="L50" s="120">
        <v>32</v>
      </c>
      <c r="M50" s="103">
        <v>52963</v>
      </c>
      <c r="N50" s="104" t="s">
        <v>246</v>
      </c>
      <c r="O50" s="116">
        <f t="shared" si="0"/>
        <v>15589.182826245986</v>
      </c>
      <c r="P50" s="116">
        <f t="shared" si="1"/>
        <v>1960152.2105001581</v>
      </c>
    </row>
    <row r="51" spans="8:16" x14ac:dyDescent="0.3">
      <c r="L51" s="120">
        <v>33</v>
      </c>
      <c r="M51" s="103">
        <v>53328</v>
      </c>
      <c r="N51" s="104" t="s">
        <v>210</v>
      </c>
      <c r="O51" s="106">
        <v>0</v>
      </c>
      <c r="P51" s="116">
        <f t="shared" si="1"/>
        <v>2092462.4847089185</v>
      </c>
    </row>
    <row r="52" spans="8:16" x14ac:dyDescent="0.3">
      <c r="L52" s="120">
        <v>34</v>
      </c>
      <c r="M52" s="103">
        <v>53693</v>
      </c>
      <c r="N52" s="104" t="s">
        <v>210</v>
      </c>
      <c r="O52" s="106">
        <v>0</v>
      </c>
      <c r="P52" s="116">
        <f t="shared" si="1"/>
        <v>2233703.7024267702</v>
      </c>
    </row>
    <row r="53" spans="8:16" x14ac:dyDescent="0.3">
      <c r="L53" s="120">
        <v>35</v>
      </c>
      <c r="M53" s="103">
        <v>54058</v>
      </c>
      <c r="N53" s="104" t="s">
        <v>210</v>
      </c>
      <c r="O53" s="106">
        <v>0</v>
      </c>
      <c r="P53" s="116">
        <f t="shared" si="1"/>
        <v>2384478.7023405768</v>
      </c>
    </row>
    <row r="54" spans="8:16" x14ac:dyDescent="0.3">
      <c r="L54" s="120">
        <v>36</v>
      </c>
      <c r="M54" s="103">
        <v>54424</v>
      </c>
      <c r="N54" s="104" t="s">
        <v>210</v>
      </c>
      <c r="O54" s="106">
        <v>0</v>
      </c>
      <c r="P54" s="116">
        <f t="shared" si="1"/>
        <v>2545431.0147485654</v>
      </c>
    </row>
    <row r="55" spans="8:16" x14ac:dyDescent="0.3">
      <c r="H55" s="116"/>
      <c r="L55" s="120"/>
      <c r="M55" s="103">
        <v>54789</v>
      </c>
      <c r="N55" s="104" t="s">
        <v>185</v>
      </c>
      <c r="O55" s="116">
        <v>-200000</v>
      </c>
      <c r="P55" s="116">
        <f t="shared" si="1"/>
        <v>2517247.6082440931</v>
      </c>
    </row>
    <row r="56" spans="8:16" x14ac:dyDescent="0.3">
      <c r="L56" s="120"/>
      <c r="M56" s="103">
        <v>55154</v>
      </c>
      <c r="N56" s="104" t="s">
        <v>186</v>
      </c>
      <c r="O56" s="107">
        <v>-200000</v>
      </c>
      <c r="P56" s="116">
        <f t="shared" si="1"/>
        <v>2487161.8218005691</v>
      </c>
    </row>
    <row r="57" spans="8:16" x14ac:dyDescent="0.3">
      <c r="M57" s="103">
        <v>55519</v>
      </c>
      <c r="N57" s="104" t="s">
        <v>187</v>
      </c>
      <c r="O57" s="107">
        <v>-200000</v>
      </c>
      <c r="P57" s="116">
        <f t="shared" si="1"/>
        <v>2455045.2447721073</v>
      </c>
    </row>
    <row r="58" spans="8:16" x14ac:dyDescent="0.3">
      <c r="M58" s="103">
        <v>55885</v>
      </c>
      <c r="N58" s="104" t="s">
        <v>188</v>
      </c>
      <c r="O58" s="107">
        <v>-200000</v>
      </c>
      <c r="P58" s="116">
        <f t="shared" si="1"/>
        <v>2420760.7987942244</v>
      </c>
    </row>
    <row r="59" spans="8:16" x14ac:dyDescent="0.3">
      <c r="M59" s="103">
        <v>56250</v>
      </c>
      <c r="N59" s="104" t="s">
        <v>189</v>
      </c>
      <c r="O59" s="107">
        <v>-200000</v>
      </c>
      <c r="P59" s="116">
        <f t="shared" si="1"/>
        <v>2384162.1527128341</v>
      </c>
    </row>
    <row r="60" spans="8:16" x14ac:dyDescent="0.3">
      <c r="M60" s="103">
        <v>56615</v>
      </c>
      <c r="N60" s="104" t="s">
        <v>190</v>
      </c>
      <c r="O60" s="107">
        <v>-200000</v>
      </c>
      <c r="P60" s="116">
        <f t="shared" si="1"/>
        <v>2345093.0980209503</v>
      </c>
    </row>
    <row r="61" spans="8:16" x14ac:dyDescent="0.3">
      <c r="M61" s="103">
        <v>56980</v>
      </c>
      <c r="N61" s="104" t="s">
        <v>191</v>
      </c>
      <c r="O61" s="107">
        <v>-200000</v>
      </c>
      <c r="P61" s="116">
        <f t="shared" si="1"/>
        <v>2303386.8821373642</v>
      </c>
    </row>
    <row r="62" spans="8:16" x14ac:dyDescent="0.3">
      <c r="M62" s="103">
        <v>57346</v>
      </c>
      <c r="N62" s="104" t="s">
        <v>192</v>
      </c>
      <c r="O62" s="107">
        <v>-200000</v>
      </c>
      <c r="P62" s="116">
        <f t="shared" si="1"/>
        <v>2258865.4966816362</v>
      </c>
    </row>
    <row r="63" spans="8:16" x14ac:dyDescent="0.3">
      <c r="M63" s="103">
        <v>57711</v>
      </c>
      <c r="N63" s="104" t="s">
        <v>193</v>
      </c>
      <c r="O63" s="107">
        <v>-200000</v>
      </c>
      <c r="P63" s="116">
        <f t="shared" si="1"/>
        <v>2211338.9177076463</v>
      </c>
    </row>
    <row r="64" spans="8:16" x14ac:dyDescent="0.3">
      <c r="M64" s="103">
        <v>58076</v>
      </c>
      <c r="N64" s="104" t="s">
        <v>194</v>
      </c>
      <c r="O64" s="107">
        <v>-200000</v>
      </c>
      <c r="P64" s="116">
        <f t="shared" si="1"/>
        <v>2160604.2946529123</v>
      </c>
    </row>
    <row r="65" spans="13:16" x14ac:dyDescent="0.3">
      <c r="M65" s="103">
        <v>58441</v>
      </c>
      <c r="N65" s="104" t="s">
        <v>195</v>
      </c>
      <c r="O65" s="107">
        <v>-200000</v>
      </c>
      <c r="P65" s="116">
        <f t="shared" si="1"/>
        <v>2106445.0845419834</v>
      </c>
    </row>
    <row r="66" spans="13:16" x14ac:dyDescent="0.3">
      <c r="M66" s="103">
        <v>58807</v>
      </c>
      <c r="N66" s="104" t="s">
        <v>196</v>
      </c>
      <c r="O66" s="107">
        <v>-200000</v>
      </c>
      <c r="P66" s="116">
        <f t="shared" si="1"/>
        <v>2048630.1277485671</v>
      </c>
    </row>
    <row r="67" spans="13:16" x14ac:dyDescent="0.3">
      <c r="M67" s="103">
        <v>59172</v>
      </c>
      <c r="N67" s="104" t="s">
        <v>197</v>
      </c>
      <c r="O67" s="107">
        <v>-200000</v>
      </c>
      <c r="P67" s="116">
        <f t="shared" si="1"/>
        <v>1986912.6613715952</v>
      </c>
    </row>
    <row r="68" spans="13:16" x14ac:dyDescent="0.3">
      <c r="M68" s="103">
        <v>59537</v>
      </c>
      <c r="N68" s="104" t="s">
        <v>198</v>
      </c>
      <c r="O68" s="107">
        <v>-200000</v>
      </c>
      <c r="P68" s="116">
        <f t="shared" si="1"/>
        <v>1921029.2660141778</v>
      </c>
    </row>
    <row r="69" spans="13:16" x14ac:dyDescent="0.3">
      <c r="M69" s="103">
        <v>59902</v>
      </c>
      <c r="N69" s="104" t="s">
        <v>199</v>
      </c>
      <c r="O69" s="107">
        <v>-200000</v>
      </c>
      <c r="P69" s="116">
        <f t="shared" si="1"/>
        <v>1850698.7414701346</v>
      </c>
    </row>
    <row r="70" spans="13:16" x14ac:dyDescent="0.3">
      <c r="M70" s="103">
        <v>60268</v>
      </c>
      <c r="N70" s="104" t="s">
        <v>200</v>
      </c>
      <c r="O70" s="107">
        <v>-200000</v>
      </c>
      <c r="P70" s="116">
        <f t="shared" si="1"/>
        <v>1775620.9065193685</v>
      </c>
    </row>
    <row r="71" spans="13:16" x14ac:dyDescent="0.3">
      <c r="M71" s="103">
        <v>60633</v>
      </c>
      <c r="N71" s="104" t="s">
        <v>201</v>
      </c>
      <c r="O71" s="107">
        <v>-200000</v>
      </c>
      <c r="P71" s="116">
        <f t="shared" si="1"/>
        <v>1695475.3177094257</v>
      </c>
    </row>
    <row r="72" spans="13:16" x14ac:dyDescent="0.3">
      <c r="M72" s="103">
        <v>60998</v>
      </c>
      <c r="N72" s="104" t="s">
        <v>202</v>
      </c>
      <c r="O72" s="107">
        <v>-200000</v>
      </c>
      <c r="P72" s="116">
        <f t="shared" si="1"/>
        <v>1609919.9016548118</v>
      </c>
    </row>
    <row r="73" spans="13:16" x14ac:dyDescent="0.3">
      <c r="M73" s="103">
        <v>61363</v>
      </c>
      <c r="N73" s="104" t="s">
        <v>203</v>
      </c>
      <c r="O73" s="107">
        <v>-200000</v>
      </c>
      <c r="P73" s="116">
        <f t="shared" si="1"/>
        <v>1518589.4950165115</v>
      </c>
    </row>
    <row r="74" spans="13:16" x14ac:dyDescent="0.3">
      <c r="M74" s="103">
        <v>61729</v>
      </c>
      <c r="N74" s="104" t="s">
        <v>204</v>
      </c>
      <c r="O74" s="107">
        <v>-200000</v>
      </c>
      <c r="P74" s="116">
        <f t="shared" si="1"/>
        <v>1421094.285930126</v>
      </c>
    </row>
    <row r="75" spans="13:16" x14ac:dyDescent="0.3">
      <c r="M75" s="103">
        <v>62094</v>
      </c>
      <c r="N75" s="104" t="s">
        <v>217</v>
      </c>
      <c r="O75" s="107">
        <v>-200000</v>
      </c>
      <c r="P75" s="116">
        <f t="shared" si="1"/>
        <v>1317018.1502304093</v>
      </c>
    </row>
    <row r="76" spans="13:16" x14ac:dyDescent="0.3">
      <c r="M76" s="103">
        <v>62459</v>
      </c>
      <c r="N76" s="104" t="s">
        <v>218</v>
      </c>
      <c r="O76" s="107">
        <v>-200000</v>
      </c>
      <c r="P76" s="116">
        <f t="shared" si="1"/>
        <v>1205916.8753709618</v>
      </c>
    </row>
    <row r="77" spans="13:16" x14ac:dyDescent="0.3">
      <c r="M77" s="103">
        <v>62824</v>
      </c>
      <c r="N77" s="104" t="s">
        <v>219</v>
      </c>
      <c r="O77" s="107">
        <v>-200000</v>
      </c>
      <c r="P77" s="116">
        <f t="shared" si="1"/>
        <v>1087316.2644585017</v>
      </c>
    </row>
    <row r="78" spans="13:16" x14ac:dyDescent="0.3">
      <c r="M78" s="103">
        <v>63190</v>
      </c>
      <c r="N78" s="104" t="s">
        <v>220</v>
      </c>
      <c r="O78" s="107">
        <v>-200000</v>
      </c>
      <c r="P78" s="116">
        <f t="shared" si="1"/>
        <v>960710.11230945052</v>
      </c>
    </row>
    <row r="79" spans="13:16" x14ac:dyDescent="0.3">
      <c r="M79" s="103">
        <v>63555</v>
      </c>
      <c r="N79" s="104" t="s">
        <v>221</v>
      </c>
      <c r="O79" s="107">
        <v>-200000</v>
      </c>
      <c r="P79" s="116">
        <f t="shared" si="1"/>
        <v>825558.04489033832</v>
      </c>
    </row>
    <row r="80" spans="13:16" x14ac:dyDescent="0.3">
      <c r="M80" s="103">
        <v>63920</v>
      </c>
      <c r="N80" s="104" t="s">
        <v>247</v>
      </c>
      <c r="O80" s="107">
        <v>-200000</v>
      </c>
      <c r="P80" s="116">
        <f t="shared" si="1"/>
        <v>681283.21292043605</v>
      </c>
    </row>
    <row r="81" spans="13:16" x14ac:dyDescent="0.3">
      <c r="M81" s="103">
        <v>64285</v>
      </c>
      <c r="N81" s="104" t="s">
        <v>248</v>
      </c>
      <c r="O81" s="116">
        <v>-200000</v>
      </c>
      <c r="P81" s="116">
        <f t="shared" si="1"/>
        <v>527269.82979256543</v>
      </c>
    </row>
    <row r="82" spans="13:16" x14ac:dyDescent="0.3">
      <c r="M82" s="103">
        <v>64651</v>
      </c>
      <c r="N82" s="104" t="s">
        <v>249</v>
      </c>
      <c r="O82" s="116">
        <v>-200000</v>
      </c>
      <c r="P82" s="116">
        <f t="shared" si="1"/>
        <v>362860.54330356349</v>
      </c>
    </row>
    <row r="83" spans="13:16" x14ac:dyDescent="0.3">
      <c r="M83" s="103">
        <v>65016</v>
      </c>
      <c r="N83" s="104" t="s">
        <v>250</v>
      </c>
      <c r="O83" s="116">
        <v>-200000</v>
      </c>
      <c r="P83" s="116">
        <f t="shared" si="1"/>
        <v>187353.62997655402</v>
      </c>
    </row>
    <row r="84" spans="13:16" x14ac:dyDescent="0.3">
      <c r="M84" s="103">
        <v>65381</v>
      </c>
      <c r="N84" s="104" t="s">
        <v>251</v>
      </c>
      <c r="O84" s="116">
        <v>-200000</v>
      </c>
      <c r="P84" s="116">
        <f t="shared" ref="P84" si="2">O84+(P83*(1+$H$16))</f>
        <v>-2.8609065338969231E-8</v>
      </c>
    </row>
    <row r="85" spans="13:16" x14ac:dyDescent="0.3">
      <c r="M85" s="103"/>
      <c r="O85" s="116"/>
      <c r="P85" s="116"/>
    </row>
  </sheetData>
  <mergeCells count="1">
    <mergeCell ref="B18:K18"/>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3"/>
  <sheetViews>
    <sheetView topLeftCell="A55" zoomScale="115" zoomScaleNormal="115" workbookViewId="0">
      <selection activeCell="H92" sqref="H92"/>
    </sheetView>
  </sheetViews>
  <sheetFormatPr defaultRowHeight="14.4" x14ac:dyDescent="0.3"/>
  <cols>
    <col min="1" max="1" width="3.5546875" customWidth="1"/>
    <col min="2" max="2" width="5" customWidth="1"/>
    <col min="3" max="3" width="12.5546875" customWidth="1"/>
    <col min="4" max="4" width="16" customWidth="1"/>
    <col min="5" max="5" width="13.77734375" customWidth="1"/>
    <col min="6" max="6" width="10.21875" customWidth="1"/>
    <col min="8" max="8" width="12.21875" bestFit="1" customWidth="1"/>
    <col min="10" max="14" width="12.77734375" customWidth="1"/>
  </cols>
  <sheetData>
    <row r="2" spans="2:8" ht="23.55" x14ac:dyDescent="0.55000000000000004">
      <c r="B2" s="1" t="s">
        <v>104</v>
      </c>
    </row>
    <row r="3" spans="2:8" ht="23.55" x14ac:dyDescent="0.55000000000000004">
      <c r="B3" s="1"/>
    </row>
    <row r="4" spans="2:8" ht="23.55" x14ac:dyDescent="0.55000000000000004">
      <c r="B4" s="1"/>
    </row>
    <row r="5" spans="2:8" ht="23.55" x14ac:dyDescent="0.55000000000000004">
      <c r="B5" s="1"/>
    </row>
    <row r="6" spans="2:8" ht="23.55" x14ac:dyDescent="0.55000000000000004">
      <c r="B6" s="1"/>
    </row>
    <row r="7" spans="2:8" ht="23.55" x14ac:dyDescent="0.55000000000000004">
      <c r="B7" s="1"/>
    </row>
    <row r="10" spans="2:8" x14ac:dyDescent="0.3">
      <c r="H10" s="4"/>
    </row>
    <row r="11" spans="2:8" ht="14.55" customHeight="1" x14ac:dyDescent="0.3">
      <c r="B11" s="43" t="s">
        <v>0</v>
      </c>
      <c r="C11" s="130" t="s">
        <v>2</v>
      </c>
    </row>
    <row r="12" spans="2:8" ht="14.55" customHeight="1" x14ac:dyDescent="0.3">
      <c r="C12" s="130" t="s">
        <v>95</v>
      </c>
    </row>
    <row r="13" spans="2:8" ht="14.55" customHeight="1" x14ac:dyDescent="0.3">
      <c r="C13" s="130" t="s">
        <v>255</v>
      </c>
    </row>
    <row r="14" spans="2:8" ht="14.55" customHeight="1" x14ac:dyDescent="0.3">
      <c r="C14" s="130" t="s">
        <v>105</v>
      </c>
    </row>
    <row r="15" spans="2:8" ht="15" thickBot="1" x14ac:dyDescent="0.35"/>
    <row r="16" spans="2:8" ht="15" thickBot="1" x14ac:dyDescent="0.35">
      <c r="D16" s="66" t="s">
        <v>94</v>
      </c>
      <c r="E16" s="67" t="s">
        <v>4</v>
      </c>
      <c r="F16" s="64"/>
    </row>
    <row r="17" spans="3:10" ht="14.55" x14ac:dyDescent="0.35">
      <c r="D17" s="68">
        <v>1</v>
      </c>
      <c r="E17" s="71">
        <v>0</v>
      </c>
      <c r="F17" s="64"/>
    </row>
    <row r="18" spans="3:10" ht="15" thickBot="1" x14ac:dyDescent="0.35">
      <c r="D18" s="70">
        <v>2</v>
      </c>
      <c r="E18" s="71">
        <v>0</v>
      </c>
      <c r="F18" s="64"/>
    </row>
    <row r="19" spans="3:10" ht="15" thickBot="1" x14ac:dyDescent="0.35">
      <c r="D19" s="70">
        <v>3</v>
      </c>
      <c r="E19" s="111">
        <v>3500</v>
      </c>
      <c r="F19" s="64" t="s">
        <v>5</v>
      </c>
    </row>
    <row r="20" spans="3:10" x14ac:dyDescent="0.3">
      <c r="D20" s="70">
        <v>4</v>
      </c>
      <c r="E20" s="112">
        <f>E19</f>
        <v>3500</v>
      </c>
    </row>
    <row r="21" spans="3:10" x14ac:dyDescent="0.3">
      <c r="D21" s="70">
        <v>5</v>
      </c>
      <c r="E21" s="112">
        <f t="shared" ref="E21:E24" si="0">E20</f>
        <v>3500</v>
      </c>
      <c r="F21" s="64"/>
    </row>
    <row r="22" spans="3:10" x14ac:dyDescent="0.3">
      <c r="D22" s="70">
        <v>6</v>
      </c>
      <c r="E22" s="112">
        <f t="shared" si="0"/>
        <v>3500</v>
      </c>
      <c r="F22" s="64"/>
    </row>
    <row r="23" spans="3:10" x14ac:dyDescent="0.3">
      <c r="D23" s="70">
        <v>7</v>
      </c>
      <c r="E23" s="112">
        <f t="shared" si="0"/>
        <v>3500</v>
      </c>
      <c r="F23" s="64"/>
    </row>
    <row r="24" spans="3:10" ht="14.55" x14ac:dyDescent="0.35">
      <c r="D24" s="70">
        <v>8</v>
      </c>
      <c r="E24" s="112">
        <f t="shared" si="0"/>
        <v>3500</v>
      </c>
      <c r="F24" s="64"/>
      <c r="J24" s="48"/>
    </row>
    <row r="25" spans="3:10" ht="15" thickBot="1" x14ac:dyDescent="0.4">
      <c r="D25" s="72">
        <v>9</v>
      </c>
      <c r="E25" s="71">
        <f t="shared" ref="E25" si="1">E24</f>
        <v>3500</v>
      </c>
      <c r="F25" s="64"/>
    </row>
    <row r="26" spans="3:10" s="63" customFormat="1" ht="15" thickBot="1" x14ac:dyDescent="0.4">
      <c r="D26" s="65">
        <v>10</v>
      </c>
      <c r="E26" s="69">
        <v>6000</v>
      </c>
      <c r="F26" s="64" t="s">
        <v>5</v>
      </c>
    </row>
    <row r="28" spans="3:10" ht="14.55" x14ac:dyDescent="0.35">
      <c r="C28" t="s">
        <v>96</v>
      </c>
      <c r="E28" s="3">
        <v>0.08</v>
      </c>
      <c r="I28" s="4"/>
    </row>
    <row r="30" spans="3:10" ht="14.55" x14ac:dyDescent="0.35">
      <c r="C30" t="s">
        <v>97</v>
      </c>
    </row>
    <row r="31" spans="3:10" ht="14.55" x14ac:dyDescent="0.35">
      <c r="C31" t="s">
        <v>98</v>
      </c>
    </row>
    <row r="32" spans="3:10" ht="14.55" x14ac:dyDescent="0.35">
      <c r="C32" s="73" t="s">
        <v>121</v>
      </c>
    </row>
    <row r="33" spans="2:8" ht="15" thickBot="1" x14ac:dyDescent="0.4"/>
    <row r="34" spans="2:8" ht="15" thickBot="1" x14ac:dyDescent="0.4">
      <c r="C34" t="s">
        <v>99</v>
      </c>
      <c r="D34" s="138">
        <f>PV(E28,2,0,PV(E28,8,E19,E26-E19))</f>
        <v>18401.84200470979</v>
      </c>
      <c r="E34" s="139"/>
    </row>
    <row r="36" spans="2:8" ht="14.55" x14ac:dyDescent="0.35">
      <c r="B36" s="77" t="s">
        <v>1</v>
      </c>
      <c r="C36" s="74" t="s">
        <v>122</v>
      </c>
      <c r="D36" s="74"/>
      <c r="E36" s="74"/>
      <c r="F36" s="74"/>
      <c r="G36" s="74"/>
      <c r="H36" s="74"/>
    </row>
    <row r="37" spans="2:8" s="73" customFormat="1" ht="14.55" x14ac:dyDescent="0.35">
      <c r="B37" s="74"/>
      <c r="C37" s="79" t="s">
        <v>123</v>
      </c>
      <c r="D37" s="74"/>
      <c r="E37" s="74"/>
      <c r="F37" s="74"/>
      <c r="G37" s="74"/>
      <c r="H37" s="74"/>
    </row>
    <row r="38" spans="2:8" s="73" customFormat="1" ht="14.55" x14ac:dyDescent="0.35">
      <c r="B38" s="74"/>
      <c r="C38" s="79" t="s">
        <v>222</v>
      </c>
      <c r="D38" s="74"/>
      <c r="E38" s="74"/>
      <c r="F38" s="74"/>
      <c r="G38" s="74"/>
      <c r="H38" s="74"/>
    </row>
    <row r="39" spans="2:8" s="73" customFormat="1" ht="15" thickBot="1" x14ac:dyDescent="0.4">
      <c r="B39" s="74"/>
      <c r="C39" s="74"/>
      <c r="D39" s="74"/>
      <c r="E39" s="74"/>
      <c r="F39" s="74"/>
      <c r="G39" s="74"/>
      <c r="H39" s="74"/>
    </row>
    <row r="40" spans="2:8" s="73" customFormat="1" ht="15" thickBot="1" x14ac:dyDescent="0.4">
      <c r="B40" s="74"/>
      <c r="C40" s="80" t="s">
        <v>124</v>
      </c>
      <c r="D40" s="74"/>
      <c r="E40" s="74"/>
      <c r="F40" s="81">
        <v>0.15</v>
      </c>
      <c r="G40" s="74"/>
      <c r="H40" s="74"/>
    </row>
    <row r="41" spans="2:8" s="73" customFormat="1" ht="15" thickBot="1" x14ac:dyDescent="0.4">
      <c r="B41" s="74"/>
      <c r="C41" s="74"/>
      <c r="D41" s="74"/>
      <c r="E41" s="75"/>
      <c r="F41" s="75"/>
      <c r="G41" s="74"/>
      <c r="H41" s="74"/>
    </row>
    <row r="42" spans="2:8" s="73" customFormat="1" ht="43.95" thickBot="1" x14ac:dyDescent="0.4">
      <c r="B42" s="74"/>
      <c r="C42" s="74"/>
      <c r="D42" s="74"/>
      <c r="E42" s="83" t="s">
        <v>125</v>
      </c>
      <c r="F42" s="83" t="s">
        <v>126</v>
      </c>
      <c r="G42" s="74"/>
      <c r="H42" s="74"/>
    </row>
    <row r="43" spans="2:8" s="73" customFormat="1" ht="14.55" x14ac:dyDescent="0.35">
      <c r="B43" s="74"/>
      <c r="C43" s="74"/>
      <c r="D43" s="74"/>
      <c r="E43" s="76" t="s">
        <v>82</v>
      </c>
      <c r="F43" s="82">
        <f>FV(F40/4,4,0,-1)-1</f>
        <v>0.15865041503906308</v>
      </c>
      <c r="G43" s="74"/>
      <c r="H43" s="74"/>
    </row>
    <row r="44" spans="2:8" s="73" customFormat="1" ht="14.55" x14ac:dyDescent="0.35">
      <c r="B44" s="74"/>
      <c r="C44" s="74"/>
      <c r="D44" s="74"/>
      <c r="E44" s="76" t="s">
        <v>83</v>
      </c>
      <c r="F44" s="82">
        <f>FV(F40/12,12,0,-1)-1</f>
        <v>0.16075451772299854</v>
      </c>
      <c r="G44" s="74"/>
      <c r="H44" s="74"/>
    </row>
    <row r="45" spans="2:8" s="73" customFormat="1" ht="15" thickBot="1" x14ac:dyDescent="0.4">
      <c r="B45" s="74"/>
      <c r="C45" s="74"/>
      <c r="D45" s="74"/>
      <c r="E45" s="76" t="s">
        <v>127</v>
      </c>
      <c r="F45" s="82">
        <f>FV(F40/365,365,0,-1)-1</f>
        <v>0.16179844312826397</v>
      </c>
      <c r="G45" s="74"/>
      <c r="H45" s="74"/>
    </row>
    <row r="46" spans="2:8" s="73" customFormat="1" ht="15" thickBot="1" x14ac:dyDescent="0.4">
      <c r="B46" s="74"/>
      <c r="C46" s="74"/>
      <c r="D46" s="74"/>
      <c r="E46" s="84" t="s">
        <v>128</v>
      </c>
      <c r="F46" s="78">
        <f>EXP(F40)-1</f>
        <v>0.16183424272828306</v>
      </c>
      <c r="G46" s="74"/>
      <c r="H46" s="74"/>
    </row>
    <row r="47" spans="2:8" s="73" customFormat="1" ht="14.55" x14ac:dyDescent="0.35"/>
    <row r="48" spans="2:8" s="73" customFormat="1" ht="14.55" x14ac:dyDescent="0.35"/>
    <row r="49" spans="2:12" ht="14.55" x14ac:dyDescent="0.35">
      <c r="B49" s="60" t="s">
        <v>6</v>
      </c>
      <c r="C49" t="s">
        <v>79</v>
      </c>
    </row>
    <row r="50" spans="2:12" s="109" customFormat="1" ht="14.55" x14ac:dyDescent="0.35">
      <c r="B50" s="110"/>
    </row>
    <row r="51" spans="2:12" s="109" customFormat="1" x14ac:dyDescent="0.3">
      <c r="B51" s="110"/>
    </row>
    <row r="52" spans="2:12" s="109" customFormat="1" ht="46.95" customHeight="1" x14ac:dyDescent="0.3">
      <c r="B52" s="110"/>
      <c r="D52" s="130"/>
    </row>
    <row r="53" spans="2:12" s="109" customFormat="1" x14ac:dyDescent="0.3">
      <c r="B53" s="110"/>
    </row>
    <row r="54" spans="2:12" x14ac:dyDescent="0.3">
      <c r="C54" s="113" t="s">
        <v>256</v>
      </c>
    </row>
    <row r="55" spans="2:12" ht="14.55" customHeight="1" x14ac:dyDescent="0.3">
      <c r="C55" s="130" t="s">
        <v>239</v>
      </c>
    </row>
    <row r="56" spans="2:12" x14ac:dyDescent="0.3">
      <c r="C56" s="113" t="s">
        <v>80</v>
      </c>
      <c r="L56" s="4"/>
    </row>
    <row r="57" spans="2:12" ht="14.55" x14ac:dyDescent="0.35">
      <c r="C57" s="113" t="s">
        <v>89</v>
      </c>
    </row>
    <row r="58" spans="2:12" ht="14.55" x14ac:dyDescent="0.35">
      <c r="C58" s="113" t="s">
        <v>240</v>
      </c>
    </row>
    <row r="59" spans="2:12" s="86" customFormat="1" ht="14.55" x14ac:dyDescent="0.35">
      <c r="C59" s="88"/>
      <c r="K59" s="116"/>
    </row>
    <row r="60" spans="2:12" s="86" customFormat="1" ht="14.55" x14ac:dyDescent="0.35">
      <c r="C60" s="87"/>
    </row>
    <row r="61" spans="2:12" ht="14.55" x14ac:dyDescent="0.35">
      <c r="C61" s="113" t="s">
        <v>223</v>
      </c>
      <c r="D61" s="113"/>
      <c r="E61" s="114">
        <v>500</v>
      </c>
      <c r="J61" s="113"/>
      <c r="K61" s="113"/>
      <c r="L61" s="114"/>
    </row>
    <row r="62" spans="2:12" ht="14.55" x14ac:dyDescent="0.35">
      <c r="C62" s="113" t="s">
        <v>257</v>
      </c>
      <c r="D62" s="113"/>
      <c r="E62" s="114">
        <f>PV(0.1,1,-500)</f>
        <v>454.5454545454549</v>
      </c>
      <c r="J62" s="113"/>
      <c r="K62" s="113"/>
      <c r="L62" s="114"/>
    </row>
    <row r="63" spans="2:12" ht="14.55" x14ac:dyDescent="0.35">
      <c r="C63" s="113" t="s">
        <v>258</v>
      </c>
      <c r="D63" s="113"/>
      <c r="E63" s="114">
        <f>PV(0.1,5,0,PV(0.1,5,500,250))</f>
        <v>1273.2759905055002</v>
      </c>
      <c r="J63" s="113"/>
      <c r="K63" s="113"/>
      <c r="L63" s="114"/>
    </row>
    <row r="64" spans="2:12" ht="14.55" x14ac:dyDescent="0.35">
      <c r="C64" s="113" t="s">
        <v>100</v>
      </c>
      <c r="D64" s="113"/>
      <c r="E64" s="114">
        <f>E62+E63+E61</f>
        <v>2227.8214450509549</v>
      </c>
      <c r="J64" s="113"/>
      <c r="K64" s="113"/>
      <c r="L64" s="114"/>
    </row>
    <row r="65" spans="2:14" ht="14.55" x14ac:dyDescent="0.35">
      <c r="C65" s="113" t="s">
        <v>101</v>
      </c>
      <c r="D65" s="113"/>
      <c r="E65" s="114">
        <f>4500-E64</f>
        <v>2272.1785549490451</v>
      </c>
      <c r="J65" s="113"/>
      <c r="K65" s="113"/>
      <c r="L65" s="114"/>
    </row>
    <row r="66" spans="2:14" ht="14.55" x14ac:dyDescent="0.35">
      <c r="C66" s="113" t="s">
        <v>259</v>
      </c>
      <c r="D66" s="113"/>
      <c r="E66" s="114">
        <f>FV(0.1,1,0,-E65)</f>
        <v>2499.3964104439497</v>
      </c>
      <c r="J66" s="113"/>
      <c r="K66" s="113"/>
      <c r="L66" s="114"/>
    </row>
    <row r="67" spans="2:14" ht="14.55" x14ac:dyDescent="0.35">
      <c r="C67" s="113" t="s">
        <v>102</v>
      </c>
      <c r="D67" s="113"/>
      <c r="E67" s="114">
        <f>PMT(0.1,4,-E66)</f>
        <v>788.48659438288882</v>
      </c>
      <c r="H67" s="113"/>
      <c r="J67" s="113"/>
      <c r="K67" s="113"/>
      <c r="L67" s="114"/>
    </row>
    <row r="68" spans="2:14" ht="14.55" x14ac:dyDescent="0.35">
      <c r="F68" s="43"/>
    </row>
    <row r="69" spans="2:14" ht="14.55" x14ac:dyDescent="0.35">
      <c r="B69" s="60" t="s">
        <v>7</v>
      </c>
      <c r="C69" t="s">
        <v>20</v>
      </c>
    </row>
    <row r="70" spans="2:14" ht="17.55" x14ac:dyDescent="0.65">
      <c r="C70" t="s">
        <v>224</v>
      </c>
      <c r="I70" s="18" t="s">
        <v>3</v>
      </c>
      <c r="J70" s="18" t="s">
        <v>17</v>
      </c>
      <c r="K70" s="18" t="s">
        <v>18</v>
      </c>
      <c r="L70" s="18" t="s">
        <v>28</v>
      </c>
      <c r="M70" s="18" t="s">
        <v>19</v>
      </c>
      <c r="N70" s="18"/>
    </row>
    <row r="71" spans="2:14" ht="14.55" x14ac:dyDescent="0.35">
      <c r="C71" t="s">
        <v>103</v>
      </c>
      <c r="I71" s="17">
        <v>1</v>
      </c>
      <c r="J71">
        <v>2500</v>
      </c>
      <c r="K71">
        <v>1800</v>
      </c>
      <c r="L71">
        <v>300</v>
      </c>
      <c r="M71">
        <v>125</v>
      </c>
    </row>
    <row r="72" spans="2:14" ht="15" thickBot="1" x14ac:dyDescent="0.4">
      <c r="I72" s="17">
        <v>2</v>
      </c>
      <c r="J72">
        <v>3000</v>
      </c>
      <c r="K72">
        <v>2200</v>
      </c>
      <c r="L72">
        <v>315</v>
      </c>
      <c r="M72">
        <v>150</v>
      </c>
    </row>
    <row r="73" spans="2:14" ht="15" thickBot="1" x14ac:dyDescent="0.4">
      <c r="C73" s="7" t="s">
        <v>21</v>
      </c>
      <c r="E73" s="19">
        <v>5</v>
      </c>
      <c r="I73" s="17">
        <v>3</v>
      </c>
      <c r="J73">
        <v>3250</v>
      </c>
      <c r="K73">
        <v>2400</v>
      </c>
      <c r="L73">
        <v>325</v>
      </c>
      <c r="M73">
        <v>162</v>
      </c>
    </row>
    <row r="74" spans="2:14" ht="15" thickBot="1" x14ac:dyDescent="0.4">
      <c r="C74" s="16"/>
      <c r="I74" s="17">
        <v>4</v>
      </c>
      <c r="J74">
        <v>4000</v>
      </c>
      <c r="K74">
        <v>3100</v>
      </c>
      <c r="L74">
        <v>400</v>
      </c>
      <c r="M74">
        <v>200</v>
      </c>
    </row>
    <row r="75" spans="2:14" ht="15" thickBot="1" x14ac:dyDescent="0.4">
      <c r="C75" s="7" t="s">
        <v>225</v>
      </c>
      <c r="E75" s="20">
        <f>VLOOKUP(E73,I71:M80,5)</f>
        <v>225</v>
      </c>
      <c r="I75" s="17">
        <v>5</v>
      </c>
      <c r="J75">
        <v>4500</v>
      </c>
      <c r="K75">
        <v>3300</v>
      </c>
      <c r="L75">
        <v>430</v>
      </c>
      <c r="M75">
        <v>225</v>
      </c>
    </row>
    <row r="76" spans="2:14" ht="14.55" x14ac:dyDescent="0.35">
      <c r="I76" s="17">
        <v>6</v>
      </c>
      <c r="J76">
        <v>5200</v>
      </c>
      <c r="K76">
        <v>3900</v>
      </c>
      <c r="L76">
        <v>450</v>
      </c>
      <c r="M76">
        <v>260</v>
      </c>
    </row>
    <row r="77" spans="2:14" ht="14.55" x14ac:dyDescent="0.35">
      <c r="I77" s="17">
        <v>7</v>
      </c>
      <c r="J77">
        <v>5900</v>
      </c>
      <c r="K77">
        <v>4400</v>
      </c>
      <c r="L77">
        <v>500</v>
      </c>
      <c r="M77">
        <v>295</v>
      </c>
    </row>
    <row r="78" spans="2:14" ht="14.55" x14ac:dyDescent="0.35">
      <c r="I78" s="17">
        <v>8</v>
      </c>
      <c r="J78">
        <v>6500</v>
      </c>
      <c r="K78">
        <v>4800</v>
      </c>
      <c r="L78">
        <v>550</v>
      </c>
      <c r="M78">
        <v>325</v>
      </c>
    </row>
    <row r="79" spans="2:14" ht="14.55" x14ac:dyDescent="0.35">
      <c r="I79" s="17">
        <v>9</v>
      </c>
      <c r="J79">
        <v>8000</v>
      </c>
      <c r="K79">
        <v>6000</v>
      </c>
      <c r="L79">
        <v>590</v>
      </c>
      <c r="M79">
        <v>400</v>
      </c>
    </row>
    <row r="80" spans="2:14" ht="14.55" x14ac:dyDescent="0.35">
      <c r="I80" s="17">
        <v>10</v>
      </c>
      <c r="J80">
        <v>9250</v>
      </c>
      <c r="K80">
        <v>6900</v>
      </c>
      <c r="L80">
        <v>700</v>
      </c>
      <c r="M80">
        <v>475</v>
      </c>
    </row>
    <row r="82" spans="2:4" ht="14.55" x14ac:dyDescent="0.35">
      <c r="C82" t="s">
        <v>226</v>
      </c>
    </row>
    <row r="83" spans="2:4" ht="14.55" x14ac:dyDescent="0.35">
      <c r="B83" s="85" t="s">
        <v>136</v>
      </c>
      <c r="C83" t="s">
        <v>260</v>
      </c>
    </row>
    <row r="84" spans="2:4" ht="15" thickBot="1" x14ac:dyDescent="0.4"/>
    <row r="85" spans="2:4" ht="15" thickBot="1" x14ac:dyDescent="0.4">
      <c r="C85" s="89" t="s">
        <v>3</v>
      </c>
      <c r="D85" s="90" t="s">
        <v>17</v>
      </c>
    </row>
    <row r="86" spans="2:4" ht="14.55" x14ac:dyDescent="0.35">
      <c r="C86" s="91">
        <v>2005</v>
      </c>
      <c r="D86" s="96">
        <v>1345000</v>
      </c>
    </row>
    <row r="87" spans="2:4" ht="14.55" x14ac:dyDescent="0.35">
      <c r="C87" s="92">
        <v>2006</v>
      </c>
      <c r="D87" s="97">
        <v>1472000</v>
      </c>
    </row>
    <row r="88" spans="2:4" ht="14.55" x14ac:dyDescent="0.35">
      <c r="C88" s="92">
        <v>2007</v>
      </c>
      <c r="D88" s="97">
        <v>1725000</v>
      </c>
    </row>
    <row r="89" spans="2:4" ht="14.55" x14ac:dyDescent="0.35">
      <c r="C89" s="92">
        <v>2008</v>
      </c>
      <c r="D89" s="97">
        <v>1654000</v>
      </c>
    </row>
    <row r="90" spans="2:4" ht="14.55" x14ac:dyDescent="0.35">
      <c r="C90" s="92">
        <v>2009</v>
      </c>
      <c r="D90" s="97">
        <v>1925000</v>
      </c>
    </row>
    <row r="91" spans="2:4" x14ac:dyDescent="0.3">
      <c r="C91" s="92">
        <v>2010</v>
      </c>
      <c r="D91" s="97">
        <v>2164500</v>
      </c>
    </row>
    <row r="92" spans="2:4" s="130" customFormat="1" x14ac:dyDescent="0.3">
      <c r="C92" s="128">
        <v>2011</v>
      </c>
      <c r="D92" s="129">
        <v>2045000</v>
      </c>
    </row>
    <row r="93" spans="2:4" ht="15" thickBot="1" x14ac:dyDescent="0.35">
      <c r="C93" s="93">
        <v>2012</v>
      </c>
      <c r="D93" s="94">
        <f>TREND(D86:D92,C86:C92,C93)</f>
        <v>2287928.5714285672</v>
      </c>
    </row>
  </sheetData>
  <mergeCells count="1">
    <mergeCell ref="D34:E34"/>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tabSelected="1" topLeftCell="A20" zoomScale="115" zoomScaleNormal="115" workbookViewId="0">
      <selection activeCell="J28" sqref="J28"/>
    </sheetView>
  </sheetViews>
  <sheetFormatPr defaultColWidth="8.77734375" defaultRowHeight="14.4" x14ac:dyDescent="0.3"/>
  <cols>
    <col min="1" max="1" width="6.21875" style="22" customWidth="1"/>
    <col min="2" max="2" width="4" style="21" customWidth="1"/>
    <col min="3" max="3" width="30.77734375" style="21" customWidth="1"/>
    <col min="4" max="4" width="17" style="22" customWidth="1"/>
    <col min="5" max="6" width="14.5546875" style="22" customWidth="1"/>
    <col min="7" max="7" width="4.109375" style="22" customWidth="1"/>
    <col min="8" max="16384" width="8.77734375" style="22"/>
  </cols>
  <sheetData>
    <row r="24" spans="3:6" ht="15" thickBot="1" x14ac:dyDescent="0.4"/>
    <row r="25" spans="3:6" ht="19.5" customHeight="1" thickBot="1" x14ac:dyDescent="0.4">
      <c r="C25" s="141" t="s">
        <v>61</v>
      </c>
      <c r="D25" s="142"/>
      <c r="E25" s="142"/>
      <c r="F25" s="142"/>
    </row>
    <row r="26" spans="3:6" ht="16.05" customHeight="1" x14ac:dyDescent="0.35">
      <c r="C26" s="38" t="s">
        <v>261</v>
      </c>
      <c r="F26" s="119">
        <v>0.03</v>
      </c>
    </row>
    <row r="27" spans="3:6" ht="14.55" x14ac:dyDescent="0.35">
      <c r="C27" s="38" t="s">
        <v>60</v>
      </c>
      <c r="F27" s="119">
        <v>5.3999999999999999E-2</v>
      </c>
    </row>
    <row r="28" spans="3:6" ht="14.55" x14ac:dyDescent="0.35">
      <c r="C28" s="38" t="s">
        <v>59</v>
      </c>
      <c r="F28" s="119">
        <v>6.7500000000000004E-2</v>
      </c>
    </row>
    <row r="29" spans="3:6" ht="14.55" x14ac:dyDescent="0.35">
      <c r="C29" s="38" t="s">
        <v>262</v>
      </c>
      <c r="F29" s="118">
        <v>0.34</v>
      </c>
    </row>
    <row r="30" spans="3:6" ht="14.55" x14ac:dyDescent="0.35">
      <c r="C30" s="38" t="s">
        <v>263</v>
      </c>
      <c r="F30" s="117">
        <v>400000</v>
      </c>
    </row>
    <row r="31" spans="3:6" ht="14.55" x14ac:dyDescent="0.35">
      <c r="C31" s="38" t="s">
        <v>264</v>
      </c>
      <c r="F31" s="117">
        <v>250000</v>
      </c>
    </row>
    <row r="32" spans="3:6" ht="14.55" x14ac:dyDescent="0.35">
      <c r="C32" s="38" t="s">
        <v>265</v>
      </c>
      <c r="F32" s="117">
        <v>42500</v>
      </c>
    </row>
    <row r="33" spans="3:12" ht="7.5" customHeight="1" thickBot="1" x14ac:dyDescent="0.4">
      <c r="C33" s="39"/>
      <c r="D33" s="26"/>
      <c r="E33" s="26"/>
      <c r="F33" s="40"/>
    </row>
    <row r="34" spans="3:12" ht="14.55" x14ac:dyDescent="0.35">
      <c r="C34" s="38"/>
      <c r="F34" s="37"/>
    </row>
    <row r="35" spans="3:12" ht="21.45" thickBot="1" x14ac:dyDescent="0.55000000000000004">
      <c r="C35" s="140" t="s">
        <v>22</v>
      </c>
      <c r="D35" s="140"/>
      <c r="E35" s="140"/>
      <c r="F35" s="140"/>
    </row>
    <row r="36" spans="3:12" ht="19.5" customHeight="1" thickBot="1" x14ac:dyDescent="0.35">
      <c r="C36" s="32"/>
      <c r="D36" s="131">
        <v>2011</v>
      </c>
      <c r="E36" s="131">
        <v>2012</v>
      </c>
      <c r="F36" s="131">
        <v>2013</v>
      </c>
    </row>
    <row r="37" spans="3:12" ht="17.25" customHeight="1" x14ac:dyDescent="0.3">
      <c r="C37" s="33" t="s">
        <v>17</v>
      </c>
      <c r="D37" s="22">
        <v>3514000</v>
      </c>
      <c r="E37" s="22">
        <v>3795120.0000000005</v>
      </c>
      <c r="F37" s="45">
        <f>E37*(1+F26)</f>
        <v>3908973.6000000006</v>
      </c>
    </row>
    <row r="38" spans="3:12" ht="17.399999999999999" x14ac:dyDescent="0.55000000000000004">
      <c r="C38" s="36" t="s">
        <v>23</v>
      </c>
      <c r="D38" s="24">
        <v>2284100</v>
      </c>
      <c r="E38" s="24">
        <v>2656584</v>
      </c>
      <c r="F38" s="24">
        <f>$F$37*J38*1.05</f>
        <v>2770485.0390000008</v>
      </c>
      <c r="H38" s="51">
        <f>D38/D$37</f>
        <v>0.65</v>
      </c>
      <c r="I38" s="51">
        <f>E38/E$37</f>
        <v>0.7</v>
      </c>
      <c r="J38" s="53">
        <f>AVERAGE(H38:I38)</f>
        <v>0.67500000000000004</v>
      </c>
      <c r="L38"/>
    </row>
    <row r="39" spans="3:12" x14ac:dyDescent="0.3">
      <c r="C39" s="34" t="s">
        <v>24</v>
      </c>
      <c r="D39" s="22">
        <f>D37-D38</f>
        <v>1229900</v>
      </c>
      <c r="E39" s="22">
        <f>E37-E38</f>
        <v>1138536.0000000005</v>
      </c>
      <c r="F39" s="22">
        <f>F37-F38</f>
        <v>1138488.5609999998</v>
      </c>
    </row>
    <row r="40" spans="3:12" x14ac:dyDescent="0.3">
      <c r="C40" s="33" t="s">
        <v>25</v>
      </c>
      <c r="D40" s="22">
        <v>350000</v>
      </c>
      <c r="E40" s="22">
        <v>375000</v>
      </c>
      <c r="F40" s="22">
        <f>$F$37*J40</f>
        <v>387795.00000000006</v>
      </c>
      <c r="G40" s="25"/>
      <c r="H40" s="51">
        <f>D40/D$37</f>
        <v>9.9601593625498003E-2</v>
      </c>
      <c r="I40" s="51">
        <f>E40/E$37</f>
        <v>9.8811104787200399E-2</v>
      </c>
      <c r="J40" s="53">
        <f>AVERAGE(H40:I40)</f>
        <v>9.9206349206349201E-2</v>
      </c>
    </row>
    <row r="41" spans="3:12" x14ac:dyDescent="0.3">
      <c r="C41" s="33" t="s">
        <v>26</v>
      </c>
      <c r="D41" s="22">
        <v>120000</v>
      </c>
      <c r="E41" s="22">
        <v>125000</v>
      </c>
      <c r="F41" s="62">
        <v>130000</v>
      </c>
    </row>
    <row r="42" spans="3:12" ht="17.399999999999999" x14ac:dyDescent="0.55000000000000004">
      <c r="C42" s="36" t="s">
        <v>27</v>
      </c>
      <c r="D42" s="24">
        <v>30000</v>
      </c>
      <c r="E42" s="24">
        <v>32500</v>
      </c>
      <c r="F42" s="24">
        <f>E42+F32</f>
        <v>75000</v>
      </c>
    </row>
    <row r="43" spans="3:12" x14ac:dyDescent="0.3">
      <c r="C43" s="34" t="s">
        <v>28</v>
      </c>
      <c r="D43" s="22">
        <f>D39-D40-D41-D42</f>
        <v>729900</v>
      </c>
      <c r="E43" s="22">
        <f>E39-E40-E41-E42</f>
        <v>606036.00000000047</v>
      </c>
      <c r="F43" s="22">
        <f>F39-F40-F41-F42</f>
        <v>545693.56099999975</v>
      </c>
    </row>
    <row r="44" spans="3:12" ht="17.399999999999999" x14ac:dyDescent="0.55000000000000004">
      <c r="C44" s="36" t="s">
        <v>29</v>
      </c>
      <c r="D44" s="24">
        <v>56000</v>
      </c>
      <c r="E44" s="24">
        <v>62900</v>
      </c>
      <c r="F44" s="24">
        <f>F27*E61+F28*E64</f>
        <v>45090</v>
      </c>
    </row>
    <row r="45" spans="3:12" x14ac:dyDescent="0.3">
      <c r="C45" s="34" t="s">
        <v>30</v>
      </c>
      <c r="D45" s="22">
        <f>D43-D44</f>
        <v>673900</v>
      </c>
      <c r="E45" s="22">
        <f>E43-E44</f>
        <v>543136.00000000047</v>
      </c>
      <c r="F45" s="22">
        <f>F43-F44</f>
        <v>500603.56099999975</v>
      </c>
    </row>
    <row r="46" spans="3:12" ht="17.399999999999999" x14ac:dyDescent="0.55000000000000004">
      <c r="C46" s="36" t="s">
        <v>31</v>
      </c>
      <c r="D46" s="24">
        <v>235800</v>
      </c>
      <c r="E46" s="24">
        <v>207600</v>
      </c>
      <c r="F46" s="24">
        <f>F45*F29</f>
        <v>170205.21073999992</v>
      </c>
    </row>
    <row r="47" spans="3:12" ht="15" thickBot="1" x14ac:dyDescent="0.35">
      <c r="C47" s="35" t="s">
        <v>19</v>
      </c>
      <c r="D47" s="26">
        <f>D45-D46</f>
        <v>438100</v>
      </c>
      <c r="E47" s="26">
        <f>E45-E46</f>
        <v>335536.00000000047</v>
      </c>
      <c r="F47" s="26">
        <f>F45-F46</f>
        <v>330398.35025999986</v>
      </c>
    </row>
    <row r="48" spans="3:12" ht="7.5" customHeight="1" x14ac:dyDescent="0.3">
      <c r="C48" s="16"/>
      <c r="D48"/>
      <c r="E48"/>
      <c r="F48"/>
    </row>
    <row r="49" spans="2:10" ht="21.6" thickBot="1" x14ac:dyDescent="0.45">
      <c r="B49" s="140" t="s">
        <v>32</v>
      </c>
      <c r="C49" s="140"/>
      <c r="D49" s="140"/>
      <c r="E49" s="140"/>
      <c r="F49" s="140"/>
    </row>
    <row r="50" spans="2:10" ht="15" thickBot="1" x14ac:dyDescent="0.35">
      <c r="B50" s="27" t="s">
        <v>33</v>
      </c>
      <c r="C50" s="27"/>
      <c r="D50" s="131">
        <v>2011</v>
      </c>
      <c r="E50" s="131">
        <v>2012</v>
      </c>
      <c r="F50" s="131">
        <v>2013</v>
      </c>
    </row>
    <row r="51" spans="2:10" x14ac:dyDescent="0.3">
      <c r="B51" s="28" t="s">
        <v>34</v>
      </c>
      <c r="D51" s="22">
        <v>52000</v>
      </c>
      <c r="E51" s="22">
        <v>118036</v>
      </c>
      <c r="F51" s="62">
        <v>118036</v>
      </c>
    </row>
    <row r="52" spans="2:10" x14ac:dyDescent="0.3">
      <c r="B52" s="28" t="s">
        <v>35</v>
      </c>
      <c r="D52" s="22">
        <v>406000</v>
      </c>
      <c r="E52" s="22">
        <v>540000</v>
      </c>
      <c r="F52" s="22">
        <f>$F$37*J52</f>
        <v>503917.19999999995</v>
      </c>
      <c r="H52" s="51">
        <f>D52/D$37</f>
        <v>0.11553784860557768</v>
      </c>
      <c r="I52" s="51">
        <f>E52/E$37</f>
        <v>0.14228799089356856</v>
      </c>
      <c r="J52" s="53">
        <f>AVERAGE(H52:I52)</f>
        <v>0.12891291974957311</v>
      </c>
    </row>
    <row r="53" spans="2:10" ht="16.2" x14ac:dyDescent="0.45">
      <c r="B53" s="28" t="s">
        <v>36</v>
      </c>
      <c r="D53" s="24">
        <v>854000</v>
      </c>
      <c r="E53" s="24">
        <v>740000</v>
      </c>
      <c r="F53" s="95">
        <f>$F$37*J53</f>
        <v>856094.80000000016</v>
      </c>
      <c r="H53" s="51">
        <f>D53/D$37</f>
        <v>0.24302788844621515</v>
      </c>
      <c r="I53" s="51">
        <f>E53/E$37</f>
        <v>0.19498724678007545</v>
      </c>
      <c r="J53" s="53">
        <f>AVERAGE(H53:I53)</f>
        <v>0.2190075676131453</v>
      </c>
    </row>
    <row r="54" spans="2:10" x14ac:dyDescent="0.3">
      <c r="B54" s="29" t="s">
        <v>37</v>
      </c>
      <c r="D54" s="22">
        <f>D51+D52+D53</f>
        <v>1312000</v>
      </c>
      <c r="E54" s="22">
        <f>E51+E52+E53</f>
        <v>1398036</v>
      </c>
      <c r="F54" s="22">
        <f>SUM(F51:F53)</f>
        <v>1478048</v>
      </c>
    </row>
    <row r="55" spans="2:10" x14ac:dyDescent="0.3">
      <c r="B55" s="28" t="s">
        <v>38</v>
      </c>
      <c r="D55" s="22">
        <v>429000</v>
      </c>
      <c r="E55" s="22">
        <v>580000</v>
      </c>
      <c r="F55" s="22">
        <f>E55+F31</f>
        <v>830000</v>
      </c>
    </row>
    <row r="56" spans="2:10" ht="16.2" x14ac:dyDescent="0.45">
      <c r="B56" s="28" t="s">
        <v>39</v>
      </c>
      <c r="D56" s="24">
        <v>126000</v>
      </c>
      <c r="E56" s="24">
        <v>158500</v>
      </c>
      <c r="F56" s="24">
        <f>E56+F42</f>
        <v>233500</v>
      </c>
    </row>
    <row r="57" spans="2:10" ht="16.2" x14ac:dyDescent="0.45">
      <c r="B57" s="29" t="s">
        <v>40</v>
      </c>
      <c r="D57" s="24">
        <f>D55-D56</f>
        <v>303000</v>
      </c>
      <c r="E57" s="24">
        <f>E55-E56</f>
        <v>421500</v>
      </c>
      <c r="F57" s="24">
        <f>F55-F56</f>
        <v>596500</v>
      </c>
    </row>
    <row r="58" spans="2:10" ht="15" thickBot="1" x14ac:dyDescent="0.35">
      <c r="B58" s="29" t="s">
        <v>41</v>
      </c>
      <c r="D58" s="22">
        <f>D54+D57</f>
        <v>1615000</v>
      </c>
      <c r="E58" s="22">
        <f>E54+E57</f>
        <v>1819536</v>
      </c>
      <c r="F58" s="22">
        <f>F54+F57</f>
        <v>2074548</v>
      </c>
    </row>
    <row r="59" spans="2:10" ht="16.05" customHeight="1" x14ac:dyDescent="0.3">
      <c r="B59" s="27" t="s">
        <v>42</v>
      </c>
      <c r="C59" s="27"/>
      <c r="D59" s="23"/>
      <c r="E59" s="23"/>
      <c r="F59" s="23"/>
    </row>
    <row r="60" spans="2:10" x14ac:dyDescent="0.3">
      <c r="B60" s="28" t="s">
        <v>43</v>
      </c>
      <c r="D60" s="22">
        <v>130000</v>
      </c>
      <c r="E60" s="22">
        <v>150000</v>
      </c>
      <c r="F60" s="22">
        <f>$F$37*J60</f>
        <v>149556</v>
      </c>
      <c r="H60" s="51">
        <f>D60/D$37</f>
        <v>3.6994877632327831E-2</v>
      </c>
      <c r="I60" s="51">
        <f>E60/E$37</f>
        <v>3.9524441914880158E-2</v>
      </c>
      <c r="J60" s="53">
        <f>AVERAGE(H60:I60)</f>
        <v>3.8259659773603995E-2</v>
      </c>
    </row>
    <row r="61" spans="2:10" x14ac:dyDescent="0.3">
      <c r="B61" s="28" t="s">
        <v>44</v>
      </c>
      <c r="D61" s="22">
        <v>179000</v>
      </c>
      <c r="E61" s="22">
        <v>210000</v>
      </c>
      <c r="F61" s="62">
        <v>190000</v>
      </c>
    </row>
    <row r="62" spans="2:10" ht="16.2" x14ac:dyDescent="0.45">
      <c r="B62" s="28" t="s">
        <v>45</v>
      </c>
      <c r="D62" s="24">
        <v>118000</v>
      </c>
      <c r="E62" s="24">
        <v>85000</v>
      </c>
      <c r="F62" s="56">
        <v>95000</v>
      </c>
    </row>
    <row r="63" spans="2:10" x14ac:dyDescent="0.3">
      <c r="B63" s="29" t="s">
        <v>46</v>
      </c>
      <c r="D63" s="22">
        <f>D60+D61+D62</f>
        <v>427000</v>
      </c>
      <c r="E63" s="22">
        <f>E60+E61+E62</f>
        <v>445000</v>
      </c>
      <c r="F63" s="22">
        <f>SUM(F60:F62)</f>
        <v>434556</v>
      </c>
    </row>
    <row r="64" spans="2:10" ht="16.2" x14ac:dyDescent="0.45">
      <c r="B64" s="28" t="s">
        <v>47</v>
      </c>
      <c r="D64" s="24">
        <v>614000</v>
      </c>
      <c r="E64" s="24">
        <v>500000</v>
      </c>
      <c r="F64" s="56">
        <v>525000</v>
      </c>
    </row>
    <row r="65" spans="2:6" x14ac:dyDescent="0.3">
      <c r="B65" s="29" t="s">
        <v>48</v>
      </c>
      <c r="D65" s="22">
        <f>D63+D64</f>
        <v>1041000</v>
      </c>
      <c r="E65" s="22">
        <f>E63+E64</f>
        <v>945000</v>
      </c>
      <c r="F65" s="22">
        <f>F63+F64</f>
        <v>959556</v>
      </c>
    </row>
    <row r="66" spans="2:6" x14ac:dyDescent="0.3">
      <c r="B66" s="28" t="s">
        <v>49</v>
      </c>
      <c r="D66" s="22">
        <v>395000</v>
      </c>
      <c r="E66" s="22">
        <v>395000</v>
      </c>
      <c r="F66" s="62">
        <v>395000</v>
      </c>
    </row>
    <row r="67" spans="2:6" ht="16.2" x14ac:dyDescent="0.45">
      <c r="B67" s="28" t="s">
        <v>50</v>
      </c>
      <c r="D67" s="24">
        <v>179000</v>
      </c>
      <c r="E67" s="24">
        <v>479536</v>
      </c>
      <c r="F67" s="24">
        <f>E67+F47-F30</f>
        <v>409934.35025999986</v>
      </c>
    </row>
    <row r="68" spans="2:6" ht="16.2" x14ac:dyDescent="0.45">
      <c r="B68" s="29" t="s">
        <v>51</v>
      </c>
      <c r="D68" s="24">
        <f>D66+D67</f>
        <v>574000</v>
      </c>
      <c r="E68" s="24">
        <f>E66+E67</f>
        <v>874536</v>
      </c>
      <c r="F68" s="24">
        <f>F66+F67</f>
        <v>804934.35025999986</v>
      </c>
    </row>
    <row r="69" spans="2:6" ht="15" thickBot="1" x14ac:dyDescent="0.35">
      <c r="B69" s="30" t="s">
        <v>52</v>
      </c>
      <c r="C69" s="31"/>
      <c r="D69" s="26">
        <f>D65+D68</f>
        <v>1615000</v>
      </c>
      <c r="E69" s="26">
        <f>E65+E68</f>
        <v>1819536</v>
      </c>
      <c r="F69" s="26">
        <f>F65+F68</f>
        <v>1764490.3502599997</v>
      </c>
    </row>
    <row r="70" spans="2:6" ht="6" customHeight="1" x14ac:dyDescent="0.3"/>
    <row r="71" spans="2:6" ht="4.5" customHeight="1" thickBot="1" x14ac:dyDescent="0.35"/>
    <row r="72" spans="2:6" ht="15" thickBot="1" x14ac:dyDescent="0.35">
      <c r="C72" s="21" t="s">
        <v>266</v>
      </c>
      <c r="F72" s="20">
        <f>F69-F58</f>
        <v>-310057.64974000026</v>
      </c>
    </row>
    <row r="73" spans="2:6" ht="10.5" customHeight="1" thickBot="1" x14ac:dyDescent="0.35">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6"/>
  <sheetViews>
    <sheetView topLeftCell="A22" zoomScaleNormal="100" workbookViewId="0">
      <selection activeCell="E45" sqref="E45"/>
    </sheetView>
  </sheetViews>
  <sheetFormatPr defaultRowHeight="14.4" x14ac:dyDescent="0.3"/>
  <cols>
    <col min="1" max="1" width="3" customWidth="1"/>
    <col min="3" max="3" width="3.77734375" customWidth="1"/>
    <col min="4" max="4" width="3.21875" customWidth="1"/>
    <col min="5" max="5" width="72.21875" customWidth="1"/>
    <col min="6" max="6" width="11.44140625" bestFit="1" customWidth="1"/>
    <col min="7" max="7" width="12.109375" bestFit="1" customWidth="1"/>
    <col min="12" max="12" width="9.44140625" bestFit="1" customWidth="1"/>
    <col min="13" max="13" width="11.6640625" customWidth="1"/>
    <col min="14" max="14" width="10.6640625" customWidth="1"/>
  </cols>
  <sheetData>
    <row r="2" spans="2:13" ht="18.45" x14ac:dyDescent="0.35">
      <c r="B2" s="122"/>
      <c r="C2" s="120"/>
      <c r="D2" s="120"/>
      <c r="E2" s="125" t="s">
        <v>270</v>
      </c>
      <c r="F2" s="120"/>
      <c r="G2" s="120"/>
    </row>
    <row r="3" spans="2:13" ht="14.55" x14ac:dyDescent="0.35">
      <c r="B3" s="122"/>
      <c r="C3" s="120"/>
      <c r="D3" s="120"/>
      <c r="E3" s="126" t="s">
        <v>133</v>
      </c>
      <c r="F3" s="120"/>
      <c r="G3" s="120"/>
    </row>
    <row r="4" spans="2:13" ht="14.55" x14ac:dyDescent="0.35">
      <c r="B4" s="122"/>
      <c r="C4" s="120"/>
      <c r="D4" s="120"/>
      <c r="E4" s="120"/>
      <c r="F4" s="120"/>
      <c r="G4" s="120"/>
    </row>
    <row r="5" spans="2:13" ht="14.55" x14ac:dyDescent="0.35">
      <c r="B5" s="122"/>
      <c r="C5" s="120"/>
      <c r="D5" s="120"/>
      <c r="E5" s="121" t="s">
        <v>134</v>
      </c>
      <c r="F5" s="120"/>
      <c r="G5" s="120"/>
    </row>
    <row r="6" spans="2:13" ht="14.55" x14ac:dyDescent="0.35">
      <c r="B6" s="120"/>
      <c r="C6" s="120"/>
      <c r="D6" s="120"/>
      <c r="E6" s="121" t="s">
        <v>135</v>
      </c>
      <c r="F6" s="120"/>
      <c r="G6" s="120"/>
    </row>
    <row r="7" spans="2:13" ht="15" thickBot="1" x14ac:dyDescent="0.4">
      <c r="B7" s="120"/>
      <c r="C7" s="120"/>
      <c r="D7" s="120"/>
      <c r="E7" s="120"/>
      <c r="F7" s="120"/>
      <c r="G7" s="120"/>
    </row>
    <row r="8" spans="2:13" ht="15" thickBot="1" x14ac:dyDescent="0.35">
      <c r="B8" s="124" t="b">
        <v>1</v>
      </c>
      <c r="C8" s="123" t="s">
        <v>0</v>
      </c>
      <c r="D8" s="123"/>
      <c r="E8" s="143" t="s">
        <v>227</v>
      </c>
      <c r="F8" s="120"/>
      <c r="G8" s="120"/>
      <c r="L8" s="116"/>
      <c r="M8" s="116"/>
    </row>
    <row r="9" spans="2:13" ht="30.6" customHeight="1" x14ac:dyDescent="0.3">
      <c r="B9" s="120"/>
      <c r="C9" s="120"/>
      <c r="D9" s="120"/>
      <c r="E9" s="143"/>
      <c r="F9" s="120"/>
      <c r="G9" s="120"/>
      <c r="L9" s="116"/>
      <c r="M9" s="116"/>
    </row>
    <row r="10" spans="2:13" ht="15" thickBot="1" x14ac:dyDescent="0.4">
      <c r="B10" s="120"/>
      <c r="C10" s="120"/>
      <c r="D10" s="120"/>
      <c r="E10" s="120"/>
      <c r="F10" s="120"/>
      <c r="G10" s="120"/>
      <c r="L10" s="116"/>
      <c r="M10" s="116"/>
    </row>
    <row r="11" spans="2:13" ht="15" thickBot="1" x14ac:dyDescent="0.35">
      <c r="B11" s="124" t="b">
        <v>1</v>
      </c>
      <c r="C11" s="123" t="s">
        <v>1</v>
      </c>
      <c r="D11" s="123"/>
      <c r="E11" s="143" t="s">
        <v>267</v>
      </c>
      <c r="F11" s="120"/>
      <c r="G11" s="120"/>
      <c r="K11" s="115"/>
      <c r="L11" s="116"/>
      <c r="M11" s="116"/>
    </row>
    <row r="12" spans="2:13" x14ac:dyDescent="0.3">
      <c r="B12" s="120"/>
      <c r="C12" s="120"/>
      <c r="D12" s="120"/>
      <c r="E12" s="143"/>
      <c r="F12" s="120"/>
      <c r="G12" s="120"/>
      <c r="K12" s="115"/>
      <c r="L12" s="116"/>
      <c r="M12" s="116"/>
    </row>
    <row r="13" spans="2:13" ht="15" thickBot="1" x14ac:dyDescent="0.35">
      <c r="B13" s="120"/>
      <c r="C13" s="120"/>
      <c r="D13" s="120"/>
      <c r="E13" s="120"/>
      <c r="F13" s="120"/>
      <c r="G13" s="120"/>
      <c r="K13" s="115"/>
      <c r="L13" s="116"/>
      <c r="M13" s="116"/>
    </row>
    <row r="14" spans="2:13" ht="15" customHeight="1" thickBot="1" x14ac:dyDescent="0.35">
      <c r="B14" s="124" t="b">
        <v>0</v>
      </c>
      <c r="C14" s="123" t="s">
        <v>6</v>
      </c>
      <c r="D14" s="123"/>
      <c r="E14" s="143" t="s">
        <v>268</v>
      </c>
      <c r="F14" s="120"/>
      <c r="G14" s="120"/>
      <c r="K14" s="115"/>
      <c r="L14" s="116"/>
      <c r="M14" s="116"/>
    </row>
    <row r="15" spans="2:13" x14ac:dyDescent="0.3">
      <c r="B15" s="120"/>
      <c r="C15" s="120"/>
      <c r="D15" s="120"/>
      <c r="E15" s="143"/>
      <c r="F15" s="120"/>
      <c r="G15" s="120"/>
      <c r="K15" s="115"/>
      <c r="L15" s="116"/>
      <c r="M15" s="116"/>
    </row>
    <row r="16" spans="2:13" ht="15" thickBot="1" x14ac:dyDescent="0.35">
      <c r="B16" s="120"/>
      <c r="C16" s="120"/>
      <c r="D16" s="120"/>
      <c r="E16" s="120"/>
      <c r="F16" s="120"/>
      <c r="G16" s="120"/>
      <c r="K16" s="115"/>
      <c r="L16" s="116"/>
      <c r="M16" s="116"/>
    </row>
    <row r="17" spans="2:13" ht="15" customHeight="1" thickBot="1" x14ac:dyDescent="0.35">
      <c r="B17" s="132" t="b">
        <v>0</v>
      </c>
      <c r="C17" s="123" t="s">
        <v>7</v>
      </c>
      <c r="D17" s="123"/>
      <c r="E17" s="143" t="s">
        <v>269</v>
      </c>
      <c r="F17" s="120"/>
      <c r="G17" s="120"/>
      <c r="K17" s="115"/>
      <c r="L17" s="116"/>
      <c r="M17" s="116"/>
    </row>
    <row r="18" spans="2:13" ht="25.8" customHeight="1" x14ac:dyDescent="0.3">
      <c r="B18" s="120"/>
      <c r="C18" s="120"/>
      <c r="D18" s="120"/>
      <c r="E18" s="143"/>
      <c r="F18" s="120"/>
      <c r="G18" s="120"/>
      <c r="K18" s="115"/>
      <c r="L18" s="116"/>
      <c r="M18" s="116"/>
    </row>
    <row r="19" spans="2:13" ht="15" thickBot="1" x14ac:dyDescent="0.35">
      <c r="B19" s="122"/>
      <c r="C19" s="120"/>
      <c r="D19" s="120"/>
      <c r="E19" s="127"/>
      <c r="F19" s="120"/>
      <c r="G19" s="120"/>
      <c r="K19" s="115"/>
      <c r="L19" s="116"/>
      <c r="M19" s="116"/>
    </row>
    <row r="20" spans="2:13" ht="15" customHeight="1" thickBot="1" x14ac:dyDescent="0.35">
      <c r="B20" s="124" t="b">
        <v>0</v>
      </c>
      <c r="C20" s="123" t="s">
        <v>136</v>
      </c>
      <c r="D20" s="123"/>
      <c r="E20" s="143" t="s">
        <v>271</v>
      </c>
      <c r="F20" s="120"/>
      <c r="G20" s="120"/>
    </row>
    <row r="21" spans="2:13" x14ac:dyDescent="0.3">
      <c r="B21" s="120"/>
      <c r="C21" s="120"/>
      <c r="D21" s="120"/>
      <c r="E21" s="143"/>
      <c r="F21" s="120"/>
      <c r="G21" s="120"/>
    </row>
    <row r="22" spans="2:13" ht="15" thickBot="1" x14ac:dyDescent="0.35">
      <c r="B22" s="120"/>
      <c r="C22" s="120"/>
      <c r="D22" s="120"/>
      <c r="E22" s="120"/>
      <c r="F22" s="120"/>
      <c r="G22" s="120"/>
    </row>
    <row r="23" spans="2:13" ht="15" thickBot="1" x14ac:dyDescent="0.35">
      <c r="B23" s="124" t="s">
        <v>278</v>
      </c>
      <c r="C23" s="123" t="s">
        <v>137</v>
      </c>
      <c r="D23" s="123"/>
      <c r="E23" s="143" t="s">
        <v>228</v>
      </c>
      <c r="F23" s="120"/>
      <c r="G23" s="120"/>
    </row>
    <row r="24" spans="2:13" x14ac:dyDescent="0.3">
      <c r="B24" s="120"/>
      <c r="C24" s="120"/>
      <c r="D24" s="120"/>
      <c r="E24" s="143"/>
      <c r="F24" s="120"/>
      <c r="G24" s="120"/>
    </row>
    <row r="25" spans="2:13" x14ac:dyDescent="0.3">
      <c r="B25" s="120"/>
      <c r="C25" s="120"/>
      <c r="D25" s="133" t="s">
        <v>138</v>
      </c>
      <c r="E25" s="133" t="s">
        <v>229</v>
      </c>
      <c r="F25" s="120"/>
      <c r="G25" s="120"/>
    </row>
    <row r="26" spans="2:13" x14ac:dyDescent="0.3">
      <c r="B26" s="120"/>
      <c r="C26" s="120"/>
      <c r="D26" s="133" t="s">
        <v>139</v>
      </c>
      <c r="E26" s="133" t="s">
        <v>231</v>
      </c>
      <c r="F26" s="120"/>
      <c r="G26" s="120"/>
    </row>
    <row r="27" spans="2:13" x14ac:dyDescent="0.3">
      <c r="B27" s="120"/>
      <c r="C27" s="120"/>
      <c r="D27" s="133" t="s">
        <v>140</v>
      </c>
      <c r="E27" s="133" t="s">
        <v>230</v>
      </c>
      <c r="F27" s="120"/>
      <c r="G27" s="120"/>
      <c r="H27" s="120"/>
      <c r="I27" s="120"/>
      <c r="J27" s="120"/>
    </row>
    <row r="28" spans="2:13" x14ac:dyDescent="0.3">
      <c r="B28" s="120"/>
      <c r="C28" s="120"/>
      <c r="D28" s="133" t="s">
        <v>141</v>
      </c>
      <c r="E28" s="133" t="s">
        <v>232</v>
      </c>
      <c r="F28" s="120"/>
      <c r="G28" s="120"/>
      <c r="H28" s="120"/>
      <c r="I28" s="120"/>
      <c r="J28" s="120"/>
    </row>
    <row r="29" spans="2:13" x14ac:dyDescent="0.3">
      <c r="B29" s="120"/>
      <c r="C29" s="120"/>
      <c r="D29" s="133" t="s">
        <v>142</v>
      </c>
      <c r="E29" s="133" t="s">
        <v>143</v>
      </c>
      <c r="F29" s="120"/>
      <c r="G29" s="120"/>
      <c r="H29" s="120"/>
      <c r="I29" s="120"/>
      <c r="J29" s="120"/>
    </row>
    <row r="30" spans="2:13" ht="15" thickBot="1" x14ac:dyDescent="0.35">
      <c r="B30" s="120"/>
      <c r="C30" s="120"/>
      <c r="D30" s="120"/>
      <c r="E30" s="120"/>
      <c r="F30" s="120"/>
      <c r="G30" s="120"/>
      <c r="H30" s="120"/>
      <c r="I30" s="120"/>
      <c r="J30" s="120"/>
    </row>
    <row r="31" spans="2:13" ht="15" customHeight="1" thickBot="1" x14ac:dyDescent="0.35">
      <c r="B31" s="124" t="s">
        <v>274</v>
      </c>
      <c r="C31" s="123" t="s">
        <v>144</v>
      </c>
      <c r="D31" s="123"/>
      <c r="E31" s="143" t="s">
        <v>273</v>
      </c>
      <c r="F31" s="120"/>
      <c r="G31" s="120"/>
      <c r="H31" s="120"/>
      <c r="I31" s="120"/>
      <c r="J31" s="120"/>
    </row>
    <row r="32" spans="2:13" ht="87" customHeight="1" x14ac:dyDescent="0.3">
      <c r="B32" s="120"/>
      <c r="C32" s="120"/>
      <c r="D32" s="120"/>
      <c r="E32" s="143"/>
      <c r="F32" s="120"/>
      <c r="G32" s="120"/>
      <c r="H32" s="120"/>
      <c r="I32" s="120"/>
      <c r="J32" s="120"/>
    </row>
    <row r="33" spans="2:10" ht="24" customHeight="1" x14ac:dyDescent="0.3">
      <c r="B33" s="120"/>
      <c r="C33" s="120"/>
      <c r="D33" s="120" t="s">
        <v>138</v>
      </c>
      <c r="E33" s="120" t="s">
        <v>145</v>
      </c>
      <c r="F33" s="120"/>
      <c r="G33" s="120"/>
      <c r="H33" s="120"/>
      <c r="I33" s="120"/>
      <c r="J33" s="120"/>
    </row>
    <row r="34" spans="2:10" x14ac:dyDescent="0.3">
      <c r="B34" s="120"/>
      <c r="C34" s="120"/>
      <c r="D34" s="120" t="s">
        <v>139</v>
      </c>
      <c r="E34" s="120" t="s">
        <v>146</v>
      </c>
      <c r="F34" s="148"/>
      <c r="G34" s="120"/>
      <c r="H34" s="120"/>
      <c r="I34" s="120"/>
      <c r="J34" s="120"/>
    </row>
    <row r="35" spans="2:10" x14ac:dyDescent="0.3">
      <c r="B35" s="120"/>
      <c r="C35" s="120"/>
      <c r="D35" s="120" t="s">
        <v>140</v>
      </c>
      <c r="E35" s="120" t="s">
        <v>147</v>
      </c>
      <c r="F35" s="147"/>
      <c r="G35" s="120"/>
      <c r="H35" s="120"/>
      <c r="I35" s="120"/>
      <c r="J35" s="120"/>
    </row>
    <row r="36" spans="2:10" x14ac:dyDescent="0.3">
      <c r="B36" s="120"/>
      <c r="C36" s="120"/>
      <c r="D36" s="120" t="s">
        <v>141</v>
      </c>
      <c r="E36" s="120" t="s">
        <v>148</v>
      </c>
      <c r="F36" s="120"/>
      <c r="G36" s="120"/>
      <c r="H36" s="120"/>
      <c r="I36" s="120"/>
      <c r="J36" s="120"/>
    </row>
    <row r="37" spans="2:10" x14ac:dyDescent="0.3">
      <c r="B37" s="120"/>
      <c r="C37" s="120"/>
      <c r="D37" s="120" t="s">
        <v>142</v>
      </c>
      <c r="E37" s="120" t="s">
        <v>149</v>
      </c>
      <c r="F37" s="120"/>
      <c r="G37" s="120"/>
      <c r="H37" s="120"/>
      <c r="I37" s="120"/>
      <c r="J37" s="120"/>
    </row>
    <row r="38" spans="2:10" ht="15" thickBot="1" x14ac:dyDescent="0.35">
      <c r="B38" s="120"/>
      <c r="C38" s="120"/>
      <c r="D38" s="120"/>
      <c r="E38" s="120"/>
      <c r="F38" s="120"/>
      <c r="G38" s="120"/>
      <c r="H38" s="120"/>
      <c r="I38" s="120"/>
      <c r="J38" s="120"/>
    </row>
    <row r="39" spans="2:10" ht="15" customHeight="1" thickBot="1" x14ac:dyDescent="0.35">
      <c r="B39" s="124" t="b">
        <v>0</v>
      </c>
      <c r="C39" s="135" t="s">
        <v>150</v>
      </c>
      <c r="D39" s="135"/>
      <c r="E39" s="143" t="s">
        <v>275</v>
      </c>
      <c r="F39" s="120"/>
      <c r="G39" s="120"/>
    </row>
    <row r="40" spans="2:10" x14ac:dyDescent="0.3">
      <c r="B40" s="120"/>
      <c r="C40" s="134"/>
      <c r="D40" s="134"/>
      <c r="E40" s="143"/>
      <c r="F40" s="120"/>
      <c r="G40" s="120"/>
    </row>
    <row r="41" spans="2:10" ht="15" thickBot="1" x14ac:dyDescent="0.35">
      <c r="B41" s="120"/>
      <c r="C41" s="120"/>
      <c r="D41" s="120"/>
      <c r="E41" s="120"/>
      <c r="F41" s="120"/>
      <c r="G41" s="120"/>
    </row>
    <row r="42" spans="2:10" ht="15" thickBot="1" x14ac:dyDescent="0.35">
      <c r="B42" s="124" t="s">
        <v>272</v>
      </c>
      <c r="C42" s="135" t="s">
        <v>151</v>
      </c>
      <c r="D42" s="123"/>
      <c r="E42" s="143" t="s">
        <v>233</v>
      </c>
      <c r="F42" s="120"/>
      <c r="G42" s="120"/>
    </row>
    <row r="43" spans="2:10" ht="45" customHeight="1" x14ac:dyDescent="0.3">
      <c r="B43" s="120"/>
      <c r="C43" s="120"/>
      <c r="D43" s="120"/>
      <c r="E43" s="143"/>
      <c r="F43" s="120"/>
      <c r="G43" s="120"/>
    </row>
    <row r="44" spans="2:10" x14ac:dyDescent="0.3">
      <c r="B44" s="120"/>
      <c r="C44" s="120"/>
      <c r="D44" s="120" t="s">
        <v>138</v>
      </c>
      <c r="E44" s="120" t="s">
        <v>234</v>
      </c>
      <c r="F44" s="120"/>
      <c r="G44" s="120"/>
    </row>
    <row r="45" spans="2:10" x14ac:dyDescent="0.3">
      <c r="B45" s="120"/>
      <c r="C45" s="120"/>
      <c r="D45" s="120" t="s">
        <v>139</v>
      </c>
      <c r="E45" s="120" t="s">
        <v>235</v>
      </c>
      <c r="F45" s="120"/>
      <c r="G45" s="120"/>
    </row>
    <row r="46" spans="2:10" x14ac:dyDescent="0.3">
      <c r="B46" s="120"/>
      <c r="C46" s="120"/>
      <c r="D46" s="120" t="s">
        <v>140</v>
      </c>
      <c r="E46" s="120" t="s">
        <v>236</v>
      </c>
      <c r="F46" s="120"/>
      <c r="G46" s="120"/>
    </row>
    <row r="47" spans="2:10" x14ac:dyDescent="0.3">
      <c r="B47" s="120"/>
      <c r="C47" s="120"/>
      <c r="D47" s="120" t="s">
        <v>141</v>
      </c>
      <c r="E47" s="136" t="s">
        <v>23</v>
      </c>
      <c r="F47" s="120"/>
      <c r="G47" s="120"/>
    </row>
    <row r="48" spans="2:10" x14ac:dyDescent="0.3">
      <c r="B48" s="120"/>
      <c r="C48" s="120"/>
      <c r="D48" s="120" t="s">
        <v>142</v>
      </c>
      <c r="E48" s="120" t="s">
        <v>237</v>
      </c>
      <c r="F48" s="120"/>
      <c r="G48" s="120"/>
    </row>
    <row r="49" spans="1:8" ht="15" thickBot="1" x14ac:dyDescent="0.35">
      <c r="B49" s="120"/>
      <c r="C49" s="120"/>
      <c r="D49" s="120"/>
      <c r="E49" s="120"/>
      <c r="F49" s="120"/>
      <c r="G49" s="120"/>
    </row>
    <row r="50" spans="1:8" ht="15" thickBot="1" x14ac:dyDescent="0.35">
      <c r="B50" s="124" t="b">
        <v>1</v>
      </c>
      <c r="C50" s="135" t="s">
        <v>152</v>
      </c>
      <c r="D50" s="123"/>
      <c r="E50" s="143" t="s">
        <v>276</v>
      </c>
      <c r="F50" s="120"/>
      <c r="G50" s="120"/>
    </row>
    <row r="51" spans="1:8" ht="28.8" customHeight="1" x14ac:dyDescent="0.3">
      <c r="A51" s="120"/>
      <c r="B51" s="120"/>
      <c r="C51" s="120"/>
      <c r="D51" s="120"/>
      <c r="E51" s="143"/>
      <c r="F51" s="120"/>
      <c r="G51" s="120"/>
      <c r="H51" s="120"/>
    </row>
    <row r="52" spans="1:8" ht="15" thickBot="1" x14ac:dyDescent="0.35">
      <c r="A52" s="120"/>
      <c r="B52" s="120"/>
      <c r="C52" s="120"/>
      <c r="D52" s="120"/>
      <c r="E52" s="120"/>
      <c r="F52" s="120"/>
      <c r="G52" s="120"/>
      <c r="H52" s="120"/>
    </row>
    <row r="53" spans="1:8" ht="15" thickBot="1" x14ac:dyDescent="0.35">
      <c r="A53" s="144" t="s">
        <v>153</v>
      </c>
      <c r="B53" s="145"/>
      <c r="C53" s="145"/>
      <c r="D53" s="145"/>
      <c r="E53" s="145"/>
      <c r="F53" s="145"/>
      <c r="G53" s="145"/>
      <c r="H53" s="146"/>
    </row>
    <row r="55" spans="1:8" x14ac:dyDescent="0.3">
      <c r="A55" s="120">
        <v>1</v>
      </c>
      <c r="B55" s="120" t="b">
        <f>B8</f>
        <v>1</v>
      </c>
      <c r="C55" s="120"/>
      <c r="D55" s="120"/>
      <c r="E55" s="120"/>
      <c r="F55" s="120"/>
      <c r="G55" s="120"/>
      <c r="H55" s="120"/>
    </row>
    <row r="56" spans="1:8" x14ac:dyDescent="0.3">
      <c r="A56" s="120">
        <v>2</v>
      </c>
      <c r="B56" s="120" t="b">
        <f>B11</f>
        <v>1</v>
      </c>
      <c r="C56" s="120"/>
      <c r="D56" s="120"/>
      <c r="E56" s="120"/>
      <c r="F56" s="120"/>
      <c r="G56" s="120"/>
      <c r="H56" s="120"/>
    </row>
    <row r="57" spans="1:8" x14ac:dyDescent="0.3">
      <c r="A57" s="120">
        <v>3</v>
      </c>
      <c r="B57" s="120" t="b">
        <f>B14</f>
        <v>0</v>
      </c>
      <c r="C57" s="120"/>
      <c r="D57" s="120"/>
      <c r="E57" s="120"/>
      <c r="F57" s="120"/>
      <c r="G57" s="120"/>
      <c r="H57" s="120"/>
    </row>
    <row r="58" spans="1:8" x14ac:dyDescent="0.3">
      <c r="A58" s="120">
        <v>4</v>
      </c>
      <c r="B58" s="120" t="b">
        <f>B17</f>
        <v>0</v>
      </c>
      <c r="C58" s="120"/>
      <c r="D58" s="120"/>
      <c r="E58" s="120"/>
      <c r="F58" s="120"/>
      <c r="G58" s="120"/>
      <c r="H58" s="120"/>
    </row>
    <row r="59" spans="1:8" x14ac:dyDescent="0.3">
      <c r="A59" s="120">
        <v>5</v>
      </c>
      <c r="B59" s="120" t="b">
        <f>B20</f>
        <v>0</v>
      </c>
      <c r="C59" s="120"/>
      <c r="D59" s="120"/>
      <c r="E59" s="120"/>
      <c r="F59" s="120"/>
      <c r="G59" s="120"/>
      <c r="H59" s="120"/>
    </row>
    <row r="60" spans="1:8" x14ac:dyDescent="0.3">
      <c r="A60" s="120">
        <v>6</v>
      </c>
      <c r="B60" s="120" t="str">
        <f>B23</f>
        <v>C</v>
      </c>
      <c r="C60" s="120"/>
      <c r="D60" s="120"/>
      <c r="E60" s="120"/>
      <c r="F60" s="120"/>
      <c r="G60" s="120"/>
      <c r="H60" s="120"/>
    </row>
    <row r="61" spans="1:8" x14ac:dyDescent="0.3">
      <c r="A61" s="120">
        <v>7</v>
      </c>
      <c r="B61" s="120" t="str">
        <f>B31</f>
        <v>A</v>
      </c>
      <c r="C61" s="120"/>
      <c r="D61" s="120"/>
      <c r="E61" s="120"/>
      <c r="F61" s="120"/>
      <c r="G61" s="120"/>
      <c r="H61" s="120"/>
    </row>
    <row r="62" spans="1:8" x14ac:dyDescent="0.3">
      <c r="A62" s="120">
        <v>8</v>
      </c>
      <c r="B62" s="120" t="b">
        <f>B39</f>
        <v>0</v>
      </c>
      <c r="C62" s="120"/>
      <c r="D62" s="120"/>
      <c r="E62" s="120"/>
      <c r="F62" s="120"/>
      <c r="G62" s="120"/>
      <c r="H62" s="120"/>
    </row>
    <row r="63" spans="1:8" x14ac:dyDescent="0.3">
      <c r="A63" s="120">
        <v>9</v>
      </c>
      <c r="B63" s="120" t="str">
        <f>B42</f>
        <v>E</v>
      </c>
      <c r="C63" s="120"/>
      <c r="D63" s="120"/>
      <c r="E63" s="120"/>
      <c r="F63" s="120"/>
      <c r="G63" s="120"/>
      <c r="H63" s="120"/>
    </row>
    <row r="64" spans="1:8" x14ac:dyDescent="0.3">
      <c r="A64" s="120">
        <v>10</v>
      </c>
      <c r="B64" s="120" t="b">
        <f>B50</f>
        <v>1</v>
      </c>
      <c r="C64" s="120"/>
      <c r="D64" s="120"/>
      <c r="E64" s="120"/>
      <c r="F64" s="120"/>
      <c r="G64" s="120"/>
      <c r="H64" s="120"/>
    </row>
    <row r="65" spans="1:2" x14ac:dyDescent="0.3">
      <c r="A65" s="120"/>
      <c r="B65" s="120"/>
    </row>
    <row r="66" spans="1:2" x14ac:dyDescent="0.3">
      <c r="A66" s="120"/>
      <c r="B66" s="120"/>
    </row>
  </sheetData>
  <mergeCells count="11">
    <mergeCell ref="A53:H53"/>
    <mergeCell ref="E42:E43"/>
    <mergeCell ref="E31:E32"/>
    <mergeCell ref="E39:E40"/>
    <mergeCell ref="E50:E51"/>
    <mergeCell ref="E23:E24"/>
    <mergeCell ref="E8:E9"/>
    <mergeCell ref="E11:E12"/>
    <mergeCell ref="E14:E15"/>
    <mergeCell ref="E17:E18"/>
    <mergeCell ref="E20:E2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P1 - 25 Pts</vt:lpstr>
      <vt:lpstr>P2 - 8 Pts</vt:lpstr>
      <vt:lpstr>P3 - 12 Pts</vt:lpstr>
      <vt:lpstr>P4 - 20 Pts</vt:lpstr>
      <vt:lpstr>P5 - 15 Pts</vt:lpstr>
      <vt:lpstr>MC-TF - 20 Pts</vt:lpstr>
      <vt:lpstr>'P4 - 20 Pts'!OLE_LINK1</vt:lpstr>
      <vt:lpstr>Periods</vt:lpstr>
      <vt:lpstr>'P5 - 15 Pts'!Print_Area</vt:lpstr>
      <vt:lpstr>Rate</vt:lpstr>
      <vt:lpstr>Term</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cp:lastPrinted>2010-04-05T16:12:33Z</cp:lastPrinted>
  <dcterms:created xsi:type="dcterms:W3CDTF">2010-01-13T00:10:02Z</dcterms:created>
  <dcterms:modified xsi:type="dcterms:W3CDTF">2012-07-11T19:43:12Z</dcterms:modified>
</cp:coreProperties>
</file>