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24226"/>
  <mc:AlternateContent xmlns:mc="http://schemas.openxmlformats.org/markup-compatibility/2006">
    <mc:Choice Requires="x15">
      <x15ac:absPath xmlns:x15ac="http://schemas.microsoft.com/office/spreadsheetml/2010/11/ac" url="C:\Users\dhawl\Ole Miss Business Dropbox\Del Hawley\Class\Summer 2021\Exam 2\"/>
    </mc:Choice>
  </mc:AlternateContent>
  <xr:revisionPtr revIDLastSave="0" documentId="13_ncr:1_{822978BD-8EF2-401E-9944-FBF8560DFEC3}" xr6:coauthVersionLast="36" xr6:coauthVersionMax="43" xr10:uidLastSave="{00000000-0000-0000-0000-000000000000}"/>
  <bookViews>
    <workbookView xWindow="3390" yWindow="2460" windowWidth="26025" windowHeight="18540" tabRatio="681" xr2:uid="{00000000-000D-0000-FFFF-FFFF00000000}"/>
  </bookViews>
  <sheets>
    <sheet name="INSTRUCTIONS" sheetId="17"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_xlnm.Print_Area" localSheetId="6">'P6 - 15 Pts'!$B$24:$J$74</definedName>
    <definedName name="Rate">'P1 - 20 Pts'!$F$23</definedName>
    <definedName name="Term">'P1 - 20 Pts'!$F$22</definedName>
  </definedNames>
  <calcPr calcId="191029" iterate="1"/>
</workbook>
</file>

<file path=xl/calcChain.xml><?xml version="1.0" encoding="utf-8"?>
<calcChain xmlns="http://schemas.openxmlformats.org/spreadsheetml/2006/main">
  <c r="F38" i="16" l="1"/>
  <c r="D107" i="1" l="1"/>
  <c r="E85" i="1"/>
  <c r="D34" i="1"/>
  <c r="E22" i="1"/>
  <c r="E23" i="1" s="1"/>
  <c r="E24" i="1" s="1"/>
  <c r="E25" i="1" s="1"/>
  <c r="H29" i="11"/>
  <c r="H28" i="11"/>
  <c r="H27" i="11"/>
  <c r="H26" i="11"/>
  <c r="P78" i="11"/>
  <c r="P79" i="11" s="1"/>
  <c r="P80" i="11" s="1"/>
  <c r="P81" i="11" s="1"/>
  <c r="P82" i="11" s="1"/>
  <c r="O47" i="11"/>
  <c r="H20" i="11"/>
  <c r="H21" i="11" s="1"/>
  <c r="H22" i="11" s="1"/>
  <c r="H23" i="11" s="1"/>
  <c r="E72" i="1" l="1"/>
  <c r="E73" i="1" s="1"/>
  <c r="E74" i="1" s="1"/>
  <c r="E75" i="1" s="1"/>
  <c r="F42" i="16" l="1"/>
  <c r="F55" i="16"/>
  <c r="D68" i="16" l="1"/>
  <c r="E63" i="16"/>
  <c r="E65" i="16" s="1"/>
  <c r="D63" i="16"/>
  <c r="D65" i="16" s="1"/>
  <c r="I60" i="16"/>
  <c r="H60" i="16"/>
  <c r="J60" i="16" s="1"/>
  <c r="D57" i="16"/>
  <c r="F56" i="16"/>
  <c r="E54" i="16"/>
  <c r="D54" i="16"/>
  <c r="I53" i="16"/>
  <c r="H53" i="16"/>
  <c r="J53" i="16" s="1"/>
  <c r="I52" i="16"/>
  <c r="H52" i="16"/>
  <c r="F44" i="16"/>
  <c r="I40" i="16"/>
  <c r="H40" i="16"/>
  <c r="E39" i="16"/>
  <c r="E43" i="16" s="1"/>
  <c r="E45" i="16" s="1"/>
  <c r="D39" i="16"/>
  <c r="D43" i="16" s="1"/>
  <c r="D45" i="16" s="1"/>
  <c r="D46" i="16" s="1"/>
  <c r="D47" i="16" s="1"/>
  <c r="I38" i="16"/>
  <c r="H38" i="16"/>
  <c r="F37" i="16"/>
  <c r="J40" i="16" l="1"/>
  <c r="F40" i="16" s="1"/>
  <c r="J52" i="16"/>
  <c r="F52" i="16" s="1"/>
  <c r="D69" i="16"/>
  <c r="D58" i="16"/>
  <c r="J38" i="16"/>
  <c r="E57" i="16"/>
  <c r="E58" i="16" s="1"/>
  <c r="F57" i="16"/>
  <c r="F60" i="16"/>
  <c r="F63" i="16" s="1"/>
  <c r="F65" i="16" s="1"/>
  <c r="E46" i="16"/>
  <c r="E47" i="16" s="1"/>
  <c r="E67" i="16" s="1"/>
  <c r="F53" i="16"/>
  <c r="F39" i="16" l="1"/>
  <c r="F43" i="16" s="1"/>
  <c r="F45" i="16" s="1"/>
  <c r="F46" i="16" s="1"/>
  <c r="F54" i="16"/>
  <c r="F58" i="16" s="1"/>
  <c r="E68" i="16"/>
  <c r="E69" i="16" s="1"/>
  <c r="F47" i="16" l="1"/>
  <c r="F67" i="16" s="1"/>
  <c r="F68" i="16" s="1"/>
  <c r="F69" i="16" s="1"/>
  <c r="F72" i="16" s="1"/>
  <c r="O19" i="11" l="1"/>
  <c r="B94" i="15"/>
  <c r="B93" i="15"/>
  <c r="B92" i="15"/>
  <c r="B91" i="15"/>
  <c r="B90" i="15"/>
  <c r="B89" i="15"/>
  <c r="B88" i="15"/>
  <c r="B87" i="15"/>
  <c r="B86" i="15"/>
  <c r="B85" i="15"/>
  <c r="B84" i="15"/>
  <c r="B83" i="15"/>
  <c r="B82" i="15"/>
  <c r="B81" i="15"/>
  <c r="B80" i="15"/>
  <c r="I20" i="14"/>
  <c r="F46" i="1"/>
  <c r="F45" i="1"/>
  <c r="F44" i="1"/>
  <c r="F43" i="1"/>
  <c r="P18" i="11"/>
  <c r="G19" i="10"/>
  <c r="G30" i="2"/>
  <c r="O21" i="2"/>
  <c r="D85" i="2" l="1"/>
  <c r="D31" i="2"/>
  <c r="D65" i="2" s="1"/>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E83" i="2"/>
  <c r="G69" i="2"/>
  <c r="F89" i="2"/>
  <c r="G86" i="2"/>
  <c r="E84" i="2"/>
  <c r="F81" i="2"/>
  <c r="G78" i="2"/>
  <c r="E76" i="2"/>
  <c r="F73" i="2"/>
  <c r="G70" i="2"/>
  <c r="E68" i="2"/>
  <c r="D71" i="2"/>
  <c r="D67" i="2"/>
  <c r="D43" i="2"/>
  <c r="D56" i="2"/>
  <c r="D49" i="2"/>
  <c r="D64" i="2" l="1"/>
  <c r="D47" i="2"/>
  <c r="D55" i="2"/>
  <c r="D54" i="2"/>
  <c r="D45" i="2"/>
  <c r="D32" i="2"/>
  <c r="D52" i="2"/>
  <c r="D51" i="2"/>
  <c r="D58" i="2"/>
  <c r="D39" i="2"/>
  <c r="D62" i="2"/>
  <c r="D60" i="2"/>
  <c r="D38" i="2"/>
  <c r="D37" i="2"/>
  <c r="D44" i="2"/>
  <c r="D59" i="2"/>
  <c r="D36" i="2"/>
  <c r="D57" i="2"/>
  <c r="D61" i="2"/>
  <c r="D41" i="2"/>
  <c r="D33" i="2"/>
  <c r="D42" i="2"/>
  <c r="D50" i="2"/>
  <c r="D34" i="2"/>
  <c r="D66" i="2"/>
  <c r="D53" i="2"/>
  <c r="D40" i="2"/>
  <c r="D48" i="2"/>
  <c r="D63" i="2"/>
  <c r="D46" i="2"/>
  <c r="P20" i="11"/>
  <c r="F31" i="2"/>
  <c r="G31" i="2" s="1"/>
  <c r="E32" i="2" s="1"/>
  <c r="F32" i="2" s="1"/>
  <c r="G32" i="2" s="1"/>
  <c r="I28" i="14"/>
  <c r="O21" i="11"/>
  <c r="H22" i="2"/>
  <c r="D35" i="2"/>
  <c r="P21" i="11" l="1"/>
  <c r="I21" i="14"/>
  <c r="I29" i="14"/>
  <c r="O22" i="11"/>
  <c r="E33" i="2"/>
  <c r="F33" i="2" s="1"/>
  <c r="G33" i="2" s="1"/>
  <c r="P22" i="11" l="1"/>
  <c r="I22" i="14"/>
  <c r="I30" i="14"/>
  <c r="I23" i="14" s="1"/>
  <c r="O23" i="11"/>
  <c r="E34" i="2"/>
  <c r="F34" i="2" s="1"/>
  <c r="G34" i="2" s="1"/>
  <c r="P23" i="11" l="1"/>
  <c r="O24" i="11"/>
  <c r="E35" i="2"/>
  <c r="F35" i="2" s="1"/>
  <c r="G35" i="2" s="1"/>
  <c r="P24" i="11" l="1"/>
  <c r="O25" i="11"/>
  <c r="E36" i="2"/>
  <c r="F36" i="2" s="1"/>
  <c r="G36" i="2" s="1"/>
  <c r="P25" i="11" l="1"/>
  <c r="O26" i="11"/>
  <c r="P26" i="11" s="1"/>
  <c r="E37" i="2"/>
  <c r="F37" i="2" s="1"/>
  <c r="G37" i="2" s="1"/>
  <c r="O27" i="11" l="1"/>
  <c r="P27" i="11" s="1"/>
  <c r="E38" i="2"/>
  <c r="F38" i="2" s="1"/>
  <c r="G38" i="2" s="1"/>
  <c r="O28" i="11" l="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s="1"/>
  <c r="O38" i="11" l="1"/>
  <c r="P38" i="11" s="1"/>
  <c r="E49" i="2"/>
  <c r="F49" i="2" s="1"/>
  <c r="G49" i="2" s="1"/>
  <c r="O39" i="11" l="1"/>
  <c r="P39" i="11" s="1"/>
  <c r="E50" i="2"/>
  <c r="F50" i="2" s="1"/>
  <c r="G50" i="2" s="1"/>
  <c r="O40" i="11" l="1"/>
  <c r="P40" i="11" s="1"/>
  <c r="E51" i="2"/>
  <c r="F51" i="2" s="1"/>
  <c r="G51" i="2" s="1"/>
  <c r="O41" i="11" l="1"/>
  <c r="P41" i="11" s="1"/>
  <c r="E52" i="2"/>
  <c r="F52" i="2" s="1"/>
  <c r="G52" i="2" s="1"/>
  <c r="O42" i="11" l="1"/>
  <c r="E53" i="2"/>
  <c r="F53" i="2" s="1"/>
  <c r="G53" i="2" s="1"/>
  <c r="P42" i="11" l="1"/>
  <c r="O43" i="11"/>
  <c r="O44" i="11" s="1"/>
  <c r="O45" i="11" s="1"/>
  <c r="O46" i="11" s="1"/>
  <c r="P43" i="1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E54" i="2"/>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<sst xmlns="http://schemas.openxmlformats.org/spreadsheetml/2006/main" count="389" uniqueCount="315">
  <si>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</si>
  <si>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</si>
  <si>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</si>
  <si>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</si>
  <si>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</si>
  <si>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</si>
  <si>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</si>
  <si>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</si>
  <si>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</si>
  <si>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</si>
  <si>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</si>
  <si>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</si>
  <si>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</si>
  <si>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</si>
  <si>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</si>
  <si>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</si>
  <si>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</si>
  <si>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</si>
  <si>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</si>
  <si>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</si>
  <si>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</si>
  <si>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</si>
  <si>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</si>
  <si>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</si>
  <si>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</si>
  <si>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</si>
  <si>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</si>
  <si>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</si>
  <si>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</si>
  <si>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</si>
  <si>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</si>
  <si>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</si>
  <si>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</si>
  <si>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</si>
  <si>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</si>
  <si>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</si>
  <si>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</si>
  <si>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</si>
  <si>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</si>
  <si>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</si>
  <si>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</si>
  <si>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</si>
  <si>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</si>
  <si>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</si>
  <si>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</si>
  <si>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</si>
  <si>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</si>
  <si>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</si>
  <si>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</si>
  <si>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</si>
  <si>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</si>
  <si>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</si>
  <si>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</si>
  <si>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</si>
  <si>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</si>
  <si>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</si>
  <si>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</si>
  <si>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</si>
  <si>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</si>
  <si>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</si>
  <si>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</si>
  <si>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</si>
  <si>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</si>
  <si>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</si>
  <si>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</si>
  <si>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</si>
  <si>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</si>
  <si>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</si>
  <si>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</si>
  <si>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</si>
  <si>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</si>
  <si>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</si>
  <si>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</si>
  <si>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</si>
  <si>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</si>
  <si>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</si>
  <si>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</si>
  <si>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</si>
  <si>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</si>
  <si>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</si>
  <si>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</si>
  <si>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</si>
  <si>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</si>
  <si>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</si>
  <si>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</si>
  <si>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</si>
  <si>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</si>
  <si>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</si>
  <si>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</si>
  <si>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</si>
  <si>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</si>
  <si>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</si>
  <si>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</si>
  <si>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</si>
  <si>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</si>
  <si>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</si>
  <si>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</si>
  <si>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</si>
  <si>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</si>
  <si>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</si>
  <si>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</si>
  <si>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</si>
  <si>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</si>
  <si>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</si>
  <si>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</si>
  <si>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</si>
  <si>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</si>
  <si>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</si>
  <si>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</si>
  <si>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</si>
  <si>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</si>
  <si>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</si>
  <si>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</si>
  <si>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</si>
  <si>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</si>
  <si>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</si>
  <si>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</si>
  <si>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</si>
  <si>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</si>
  <si>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</si>
  <si>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</si>
  <si>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</si>
  <si>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</si>
  <si>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</si>
  <si>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</si>
  <si>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</si>
  <si>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</si>
  <si>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</si>
  <si>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</si>
  <si>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</si>
  <si>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</si>
  <si>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</si>
  <si>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</si>
  <si>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</si>
  <si>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</si>
  <si>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</si>
  <si>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</si>
  <si>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</si>
  <si>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</si>
  <si>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</si>
  <si>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</si>
  <si>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</si>
  <si>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</si>
  <si>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</si>
  <si>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</si>
  <si>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</si>
  <si>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</si>
  <si>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</si>
  <si>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</si>
  <si>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</si>
  <si>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</si>
  <si>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</si>
  <si>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</si>
  <si>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</si>
  <si>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</si>
  <si>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</si>
  <si>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</si>
  <si>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</si>
  <si>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</si>
  <si>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</si>
  <si>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</si>
  <si>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</si>
  <si>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</si>
  <si>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</si>
  <si>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</si>
  <si>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</si>
  <si>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</si>
  <si>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</si>
  <si>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</si>
  <si>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</si>
  <si>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</si>
  <si>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</si>
  <si>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</si>
  <si>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</si>
  <si>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</si>
  <si>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</si>
  <si>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</si>
  <si>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</si>
  <si>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</si>
  <si>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</si>
  <si>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</si>
  <si>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</si>
  <si>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</si>
  <si>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</si>
  <si>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</si>
  <si>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</si>
  <si>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</si>
  <si>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</si>
  <si>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</si>
  <si>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</si>
  <si>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</si>
  <si>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</si>
  <si>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</si>
  <si>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</si>
  <si>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</si>
  <si>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</si>
  <si>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</si>
  <si>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</si>
  <si>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</si>
  <si>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</si>
  <si>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</si>
  <si>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</si>
  <si>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</si>
  <si>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</si>
  <si>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</si>
  <si>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</si>
  <si>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</si>
  <si>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</si>
  <si>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</si>
  <si>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</si>
  <si>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</si>
  <si>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</si>
  <si>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</si>
  <si>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</si>
  <si>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</si>
  <si>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</si>
  <si>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</si>
  <si>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</si>
  <si>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</si>
  <si>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</si>
  <si>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</si>
  <si>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</si>
  <si>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</si>
  <si>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</si>
  <si>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</si>
  <si>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</si>
  <si>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</si>
  <si>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</si>
  <si>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</si>
  <si>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</si>
  <si>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</si>
  <si>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</si>
  <si>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</si>
  <si>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</si>
  <si>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</si>
  <si>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</si>
  <si>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</si>
  <si>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</si>
  <si>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</si>
  <si>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</si>
  <si>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</si>
  <si>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</si>
  <si>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</si>
  <si>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</si>
  <si>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</si>
  <si>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</si>
  <si>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Withdrawal 26</t>
  </si>
  <si>
    <t>Withdrawal 27</t>
  </si>
  <si>
    <t>Withdrawal 28</t>
  </si>
  <si>
    <t>Withdrawal 29</t>
  </si>
  <si>
    <t>Withdrawal 30</t>
  </si>
  <si>
    <t>OR</t>
  </si>
  <si>
    <t>#4</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</si>
  <si>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</si>
  <si>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</si>
  <si>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</si>
  <si>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</si>
  <si>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</si>
  <si>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</si>
  <si>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</si>
  <si>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</si>
  <si>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</si>
  <si>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</si>
  <si>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</si>
  <si>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</si>
  <si>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</si>
  <si>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The total present value of all 11 cash flows, including the four missing ones, is $18,000</t>
  </si>
  <si>
    <t>Value of unknowns at t=2</t>
  </si>
  <si>
    <t xml:space="preserve">if the discount rate is 8% per year compounded annually. The four missing cash flows, </t>
  </si>
  <si>
    <t xml:space="preserve">          Assets</t>
  </si>
  <si>
    <t>NET INCOME</t>
  </si>
  <si>
    <t>Amount of each of the 29 regular payments that</t>
  </si>
  <si>
    <t>Deposit 26</t>
  </si>
  <si>
    <t>Deposit 27</t>
  </si>
  <si>
    <t>Deposit 28</t>
  </si>
  <si>
    <t>Deposit 29</t>
  </si>
  <si>
    <t xml:space="preserve">for the first  four years, but then will pay an equal amount each year for 5 years, and then </t>
  </si>
  <si>
    <t xml:space="preserve">the EBIT from the table at the right for the year </t>
  </si>
  <si>
    <t>You plan to make annual deposits into your retirement account on January 1 of every year from 2022</t>
  </si>
  <si>
    <t xml:space="preserve">to 2051 (30 deposits). The first deposit will be $15,000. The remaining 29 deposits will all be equal to each other, </t>
  </si>
  <si>
    <t>Deposit 30</t>
  </si>
  <si>
    <t>your retirement account to pay out $180,000 per year for 30 years starting on January 1, 2057.</t>
  </si>
  <si>
    <t>Amount needed on 1/1/2056</t>
  </si>
  <si>
    <t>PV of above on 01/01/2022</t>
  </si>
  <si>
    <t>Amount needed on 1/1/2057</t>
  </si>
  <si>
    <t>10 years of sales and uses it to estimate 2022 sales. [3 Points]</t>
  </si>
  <si>
    <t xml:space="preserve">Problem 5 for the years 2012 to 2021, and that includes a linear trendline that </t>
  </si>
  <si>
    <t>projects estimated sales through 2024.  The x-axis should list the individual years</t>
  </si>
  <si>
    <t xml:space="preserve"> and begin with 2012 and end with 2024. The y-axis should be sales in dollars. [5 Points]</t>
  </si>
  <si>
    <t>Percent Change in Sales from 2020</t>
  </si>
  <si>
    <t>Tax Rate for 2021</t>
  </si>
  <si>
    <t>Common Stock Dividend for 2021</t>
  </si>
  <si>
    <t>Expected addition to Plant and Equipment in 2021</t>
  </si>
  <si>
    <t>Additional depreciation on new Plant/Equip in 2021</t>
  </si>
  <si>
    <t>2020</t>
  </si>
  <si>
    <t>2021.</t>
  </si>
  <si>
    <t>Excess/(Deficit) Financing for 2021</t>
  </si>
  <si>
    <t>2019</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</si>
  <si>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</si>
  <si>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</si>
  <si>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</si>
  <si>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</si>
  <si>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</si>
  <si>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</si>
  <si>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</si>
  <si>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</si>
  <si>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</si>
  <si>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</si>
  <si>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t>
  </si>
  <si>
    <t>Close Excel.</t>
  </si>
  <si>
    <t>Close out the Blackboard exam window by entering anything in the answer space and clicking SUBMIT.</t>
  </si>
  <si>
    <t>Open the  item named DROPBOX 1 FOR EXAM 2 in the CONTENT folder in Blackboard</t>
  </si>
  <si>
    <t>Follow the instructions for uploading your completed exam file.</t>
  </si>
  <si>
    <t>Click on SUBMIT. You should get a confirmation that the file was successfully uploaded.</t>
  </si>
  <si>
    <t>Open the  item named DROPBOX 2 FOR EXAM 2 in the CONTENT folder in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</si>
</sst>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 numFmtId="168" formatCode="_(&quot;$&quot;* #,##0.000_);_(&quot;$&quot;* \(#,##0.000\);_(&quot;$&quot;*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b/>
      <sz val="12"/>
      <color rgb="FFFF0000"/>
      <name val="Calibri"/>
      <family val="2"/>
      <scheme val="minor"/>
    </font>
    <font>
      <sz val="8"/>
      <name val="Calibri"/>
      <family val="2"/>
      <scheme val="minor"/>
    </font>
    <font>
      <b/>
      <u/>
      <sz val="14"/>
      <color rgb="FFFF0000"/>
      <name val="Calibri"/>
      <family val="2"/>
      <scheme val="minor"/>
    </font>
    <font>
      <b/>
      <i/>
      <sz val="14"/>
      <color rgb="FF002060"/>
      <name val="Calibri"/>
      <family val="2"/>
      <scheme val="minor"/>
    </font>
    <font>
      <sz val="12"/>
      <color theme="1"/>
      <name val="Calibri"/>
      <family val="2"/>
      <scheme val="minor"/>
    </font>
    <font>
      <sz val="2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1"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1" fillId="0" borderId="0" xfId="0" applyNumberFormat="1" applyFont="1"/>
    <xf numFmtId="166" fontId="11" fillId="0" borderId="0" xfId="0" applyNumberFormat="1" applyFont="1"/>
    <xf numFmtId="165" fontId="11" fillId="0" borderId="0" xfId="0" applyNumberFormat="1" applyFont="1"/>
    <xf numFmtId="0" fontId="0" fillId="0" borderId="0" xfId="0"/>
    <xf numFmtId="0" fontId="3" fillId="0" borderId="0" xfId="0" applyFont="1"/>
    <xf numFmtId="0" fontId="3" fillId="0" borderId="0" xfId="0" applyFont="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1" fillId="0" borderId="17" xfId="2" applyNumberFormat="1" applyFont="1" applyBorder="1"/>
    <xf numFmtId="0" fontId="11" fillId="0" borderId="17" xfId="0" applyFont="1" applyBorder="1"/>
    <xf numFmtId="10" fontId="11" fillId="0" borderId="17" xfId="0" applyNumberFormat="1" applyFont="1" applyBorder="1"/>
    <xf numFmtId="164" fontId="11" fillId="0" borderId="0" xfId="2" applyNumberFormat="1" applyFont="1" applyBorder="1"/>
    <xf numFmtId="0" fontId="11"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0"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164" fontId="0" fillId="4" borderId="21" xfId="2" applyNumberFormat="1" applyFont="1" applyFill="1" applyBorder="1"/>
    <xf numFmtId="41" fontId="0" fillId="2" borderId="0" xfId="0" applyNumberFormat="1" applyFill="1"/>
    <xf numFmtId="41" fontId="5" fillId="2" borderId="0" xfId="0" applyNumberFormat="1" applyFont="1" applyFill="1"/>
    <xf numFmtId="41" fontId="8" fillId="6" borderId="14" xfId="0" quotePrefix="1" applyNumberFormat="1" applyFont="1" applyFill="1" applyBorder="1" applyAlignment="1">
      <alignment horizontal="center" vertical="center"/>
    </xf>
    <xf numFmtId="0" fontId="14" fillId="0" borderId="0" xfId="0" applyFont="1"/>
    <xf numFmtId="0" fontId="15" fillId="0" borderId="0" xfId="0" applyFont="1"/>
    <xf numFmtId="164" fontId="1" fillId="0" borderId="6" xfId="2" applyNumberFormat="1" applyBorder="1" applyAlignment="1">
      <alignment horizontal="center"/>
    </xf>
    <xf numFmtId="164" fontId="2" fillId="0" borderId="6" xfId="2" applyNumberFormat="1" applyFont="1" applyBorder="1" applyAlignment="1">
      <alignment horizontal="center"/>
    </xf>
    <xf numFmtId="168" fontId="0" fillId="0" borderId="0" xfId="0" applyNumberFormat="1"/>
    <xf numFmtId="0" fontId="3" fillId="2" borderId="14" xfId="0" applyFont="1" applyFill="1" applyBorder="1" applyAlignment="1">
      <alignment horizontal="center"/>
    </xf>
    <xf numFmtId="0" fontId="13"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2" xfId="0" applyFont="1" applyFill="1" applyBorder="1" applyAlignment="1">
      <alignment horizontal="center" vertical="center"/>
    </xf>
    <xf numFmtId="0" fontId="19" fillId="0" borderId="0" xfId="0" applyFont="1"/>
    <xf numFmtId="0" fontId="20" fillId="0" borderId="0" xfId="0" applyFont="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xVal>
          <c:yVal>
            <c:numRef>
              <c:f>'P5 - 20 Pts'!$D$97:$D$106</c:f>
              <c:numCache>
                <c:formatCode>_("$"* #,##0_);_("$"* \(#,##0\);_("$"* "-"??_);_(@_)</c:formatCode>
                <c:ptCount val="10"/>
                <c:pt idx="0">
                  <c:v>946000</c:v>
                </c:pt>
                <c:pt idx="1">
                  <c:v>1055600</c:v>
                </c:pt>
                <c:pt idx="2">
                  <c:v>1321800</c:v>
                </c:pt>
                <c:pt idx="3">
                  <c:v>1216500</c:v>
                </c:pt>
                <c:pt idx="4">
                  <c:v>1429500</c:v>
                </c:pt>
                <c:pt idx="5">
                  <c:v>1562540</c:v>
                </c:pt>
                <c:pt idx="6">
                  <c:v>1386540</c:v>
                </c:pt>
                <c:pt idx="7">
                  <c:v>1486550</c:v>
                </c:pt>
                <c:pt idx="8">
                  <c:v>1362500</c:v>
                </c:pt>
                <c:pt idx="9">
                  <c:v>1598650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4"/>
          <c:min val="201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31</xdr:row>
      <xdr:rowOff>39370</xdr:rowOff>
    </xdr:from>
    <xdr:to>
      <xdr:col>8</xdr:col>
      <xdr:colOff>419100</xdr:colOff>
      <xdr:row>37</xdr:row>
      <xdr:rowOff>58420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17625" y="5982970"/>
          <a:ext cx="434022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Your output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1</xdr:col>
      <xdr:colOff>181744</xdr:colOff>
      <xdr:row>113</xdr:row>
      <xdr:rowOff>62948</xdr:rowOff>
    </xdr:from>
    <xdr:to>
      <xdr:col>8</xdr:col>
      <xdr:colOff>99392</xdr:colOff>
      <xdr:row>130</xdr:row>
      <xdr:rowOff>57978</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2021 pro forma income statement and balance sheet for the firm whose 2019 and 2020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2021 is expected to change with sales by 106% of the two-year arithmetic average of the proportion of this item in relation to sales</a:t>
          </a:r>
          <a:r>
            <a:rPr lang="en-US" sz="1100" b="1" baseline="0">
              <a:solidFill>
                <a:schemeClr val="dk1"/>
              </a:solidFill>
              <a:effectLst/>
              <a:latin typeface="+mn-lt"/>
              <a:ea typeface="+mn-ea"/>
              <a:cs typeface="+mn-cs"/>
            </a:rPr>
            <a:t> for 2019 and 2020.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2019 and 2020</a:t>
          </a:r>
          <a:r>
            <a:rPr lang="en-US" sz="1100" b="1">
              <a:solidFill>
                <a:schemeClr val="dk1"/>
              </a:solidFill>
              <a:effectLst/>
              <a:latin typeface="+mn-lt"/>
              <a:ea typeface="+mn-ea"/>
              <a:cs typeface="+mn-cs"/>
            </a:rPr>
            <a:t>.  The firm has planned an investment of $420,000 in new equipment </a:t>
          </a:r>
          <a:r>
            <a:rPr lang="en-US" sz="1100" b="1" baseline="0">
              <a:solidFill>
                <a:schemeClr val="dk1"/>
              </a:solidFill>
              <a:effectLst/>
              <a:latin typeface="+mn-lt"/>
              <a:ea typeface="+mn-ea"/>
              <a:cs typeface="+mn-cs"/>
            </a:rPr>
            <a:t>in 2021.  This equipment will be depreciated at $70,000 per year. Depreciation on existing Plant/Equipment will be the same as it was in 2020.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2021 is computed on the 2020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2021 using the information above, the inputs below, and the values that are given in the statements. The 2021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2021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A8BA-B9F6-4844-8CC8-A88CC04ED3FB}">
  <dimension ref="B2:D32"/>
  <sheetViews>
    <sheetView showGridLines="0" tabSelected="1" workbookViewId="0">
      <selection activeCell="L16" sqref="L16"/>
    </sheetView>
  </sheetViews>
  <sheetFormatPr defaultRowHeight="15" x14ac:dyDescent="0.25"/>
  <cols>
    <col min="1" max="1" width="3.140625" style="108" customWidth="1"/>
    <col min="2" max="2" width="4.5703125" style="108" customWidth="1"/>
    <col min="3" max="16384" width="9.140625" style="108"/>
  </cols>
  <sheetData>
    <row r="2" spans="2:2" ht="18.75" x14ac:dyDescent="0.3">
      <c r="B2" s="134" t="s">
        <v>52</v>
      </c>
    </row>
    <row r="3" spans="2:2" ht="18.75" x14ac:dyDescent="0.3">
      <c r="B3" s="134" t="s">
        <v>298</v>
      </c>
    </row>
    <row r="4" spans="2:2" ht="18.75" x14ac:dyDescent="0.3">
      <c r="B4" s="134" t="s">
        <v>57</v>
      </c>
    </row>
    <row r="5" spans="2:2" ht="18.75" x14ac:dyDescent="0.3">
      <c r="B5" s="134"/>
    </row>
    <row r="6" spans="2:2" ht="18.75" x14ac:dyDescent="0.3">
      <c r="B6" s="134" t="s">
        <v>299</v>
      </c>
    </row>
    <row r="7" spans="2:2" ht="18.75" x14ac:dyDescent="0.3">
      <c r="B7" s="134" t="s">
        <v>300</v>
      </c>
    </row>
    <row r="8" spans="2:2" ht="18.75" x14ac:dyDescent="0.3">
      <c r="B8" s="134"/>
    </row>
    <row r="9" spans="2:2" ht="18.75" x14ac:dyDescent="0.3">
      <c r="B9" s="134" t="s">
        <v>301</v>
      </c>
    </row>
    <row r="10" spans="2:2" ht="18.75" x14ac:dyDescent="0.3">
      <c r="B10" s="134" t="s">
        <v>302</v>
      </c>
    </row>
    <row r="11" spans="2:2" ht="18.75" x14ac:dyDescent="0.3">
      <c r="B11" s="134" t="s">
        <v>303</v>
      </c>
    </row>
    <row r="12" spans="2:2" ht="18.75" x14ac:dyDescent="0.3">
      <c r="B12" s="134"/>
    </row>
    <row r="13" spans="2:2" ht="15.75" x14ac:dyDescent="0.25">
      <c r="B13" s="151" t="s">
        <v>220</v>
      </c>
    </row>
    <row r="14" spans="2:2" ht="15.75" x14ac:dyDescent="0.25">
      <c r="B14" s="135"/>
    </row>
    <row r="15" spans="2:2" ht="15.75" x14ac:dyDescent="0.25">
      <c r="B15" s="151" t="s">
        <v>53</v>
      </c>
    </row>
    <row r="16" spans="2:2" ht="15.75" x14ac:dyDescent="0.25">
      <c r="B16" s="151"/>
    </row>
    <row r="17" spans="2:4" ht="15.75" x14ac:dyDescent="0.25">
      <c r="B17" s="151" t="s">
        <v>304</v>
      </c>
    </row>
    <row r="18" spans="2:4" ht="15.75" x14ac:dyDescent="0.25">
      <c r="B18" s="151"/>
    </row>
    <row r="19" spans="2:4" ht="15.75" x14ac:dyDescent="0.25">
      <c r="B19" s="151" t="s">
        <v>305</v>
      </c>
    </row>
    <row r="20" spans="2:4" ht="15.75" x14ac:dyDescent="0.25">
      <c r="B20" s="151" t="s">
        <v>306</v>
      </c>
    </row>
    <row r="21" spans="2:4" ht="15.75" x14ac:dyDescent="0.25">
      <c r="B21" s="151" t="s">
        <v>307</v>
      </c>
    </row>
    <row r="23" spans="2:4" ht="18.75" x14ac:dyDescent="0.3">
      <c r="B23" s="134" t="s">
        <v>71</v>
      </c>
    </row>
    <row r="24" spans="2:4" ht="28.5" x14ac:dyDescent="0.45">
      <c r="B24" s="152" t="s">
        <v>308</v>
      </c>
      <c r="C24" s="134" t="s">
        <v>72</v>
      </c>
    </row>
    <row r="25" spans="2:4" ht="28.5" x14ac:dyDescent="0.45">
      <c r="B25" s="152" t="s">
        <v>308</v>
      </c>
      <c r="C25" s="134" t="s">
        <v>309</v>
      </c>
    </row>
    <row r="26" spans="2:4" ht="28.5" x14ac:dyDescent="0.45">
      <c r="B26" s="152" t="s">
        <v>308</v>
      </c>
      <c r="C26" s="134" t="s">
        <v>310</v>
      </c>
    </row>
    <row r="27" spans="2:4" ht="28.5" x14ac:dyDescent="0.45">
      <c r="B27" s="152" t="s">
        <v>308</v>
      </c>
      <c r="C27" s="134" t="s">
        <v>311</v>
      </c>
    </row>
    <row r="28" spans="2:4" ht="28.5" x14ac:dyDescent="0.45">
      <c r="C28" s="152" t="s">
        <v>308</v>
      </c>
      <c r="D28" s="134" t="s">
        <v>312</v>
      </c>
    </row>
    <row r="29" spans="2:4" ht="28.5" x14ac:dyDescent="0.45">
      <c r="C29" s="152" t="s">
        <v>308</v>
      </c>
      <c r="D29" s="134" t="s">
        <v>313</v>
      </c>
    </row>
    <row r="30" spans="2:4" ht="28.5" x14ac:dyDescent="0.45">
      <c r="B30" s="152" t="s">
        <v>308</v>
      </c>
      <c r="C30" s="134" t="s">
        <v>314</v>
      </c>
    </row>
    <row r="31" spans="2:4" ht="28.5" x14ac:dyDescent="0.45">
      <c r="C31" s="152" t="s">
        <v>308</v>
      </c>
      <c r="D31" s="134" t="s">
        <v>312</v>
      </c>
    </row>
    <row r="32" spans="2:4" ht="28.5" x14ac:dyDescent="0.45">
      <c r="C32" s="152" t="s">
        <v>308</v>
      </c>
      <c r="D32" s="134" t="s">
        <v>313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election activeCell="K21" sqref="K21"/>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59</v>
      </c>
    </row>
    <row r="21" spans="3:19" ht="15.75" thickBot="1" x14ac:dyDescent="0.3">
      <c r="C21" s="6" t="s">
        <v>8</v>
      </c>
      <c r="F21" s="2">
        <v>385000</v>
      </c>
      <c r="G21" t="s">
        <v>83</v>
      </c>
      <c r="N21" t="s">
        <v>75</v>
      </c>
      <c r="O21">
        <f>IF(F25="Annual",1,IF(F25="Quarterly",4,12))</f>
        <v>12</v>
      </c>
      <c r="P21">
        <v>1</v>
      </c>
    </row>
    <row r="22" spans="3:19" ht="15.75" thickBot="1" x14ac:dyDescent="0.3">
      <c r="C22" s="38" t="s">
        <v>78</v>
      </c>
      <c r="F22" s="45">
        <v>3</v>
      </c>
      <c r="G22" t="s">
        <v>86</v>
      </c>
      <c r="H22" s="5">
        <f>D31*Term*Periods+F24-F21</f>
        <v>61908.605639153393</v>
      </c>
      <c r="N22" t="s">
        <v>76</v>
      </c>
      <c r="P22">
        <v>2</v>
      </c>
    </row>
    <row r="23" spans="3:19" x14ac:dyDescent="0.25">
      <c r="C23" s="6" t="s">
        <v>9</v>
      </c>
      <c r="F23" s="3">
        <v>7.4999999999999997E-2</v>
      </c>
      <c r="N23" t="s">
        <v>77</v>
      </c>
      <c r="P23">
        <v>3</v>
      </c>
    </row>
    <row r="24" spans="3:19" ht="15.75" thickBot="1" x14ac:dyDescent="0.3">
      <c r="C24" s="6" t="s">
        <v>10</v>
      </c>
      <c r="F24" s="2">
        <v>150000</v>
      </c>
      <c r="G24" t="s">
        <v>84</v>
      </c>
      <c r="P24">
        <v>4</v>
      </c>
    </row>
    <row r="25" spans="3:19" ht="15.75" thickBot="1" x14ac:dyDescent="0.3">
      <c r="C25" s="38" t="s">
        <v>58</v>
      </c>
      <c r="F25" t="s">
        <v>77</v>
      </c>
      <c r="G25" t="s">
        <v>85</v>
      </c>
      <c r="H25" s="50">
        <f>EFFECT(Rate,Periods)</f>
        <v>7.7632598856030688E-2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385000</v>
      </c>
    </row>
    <row r="31" spans="3:19" x14ac:dyDescent="0.25">
      <c r="C31" s="12">
        <v>1</v>
      </c>
      <c r="D31" s="14">
        <f>PMT(Rate/Periods,Term*Periods,-F21,F24)</f>
        <v>8247.4612677542609</v>
      </c>
      <c r="E31" s="13">
        <f t="shared" ref="E31:E62" si="0">IF(C31&gt;Term*Periods,"",G30*Rate/Periods)</f>
        <v>2406.25</v>
      </c>
      <c r="F31" s="14">
        <f t="shared" ref="F31:F62" si="1">IF(C31&gt;Term*Periods,"",D31-E31)</f>
        <v>5841.2112677542609</v>
      </c>
      <c r="G31" s="13">
        <f t="shared" ref="G31:G62" si="2">IF(C31&gt;Term*Periods,"",G30-F31)</f>
        <v>379158.78873224574</v>
      </c>
      <c r="K31" t="s">
        <v>15</v>
      </c>
    </row>
    <row r="32" spans="3:19" x14ac:dyDescent="0.25">
      <c r="C32" s="12">
        <v>2</v>
      </c>
      <c r="D32" s="14">
        <f t="shared" ref="D32:D63" si="3">IF(C32&gt;Term*Periods,"",IF(C32=Term*Periods,$D$31+$F$24,$D$31))</f>
        <v>8247.4612677542609</v>
      </c>
      <c r="E32" s="13">
        <f t="shared" si="0"/>
        <v>2369.7424295765359</v>
      </c>
      <c r="F32" s="14">
        <f t="shared" si="1"/>
        <v>5877.718838177725</v>
      </c>
      <c r="G32" s="13">
        <f t="shared" si="2"/>
        <v>373281.069894068</v>
      </c>
    </row>
    <row r="33" spans="3:7" x14ac:dyDescent="0.25">
      <c r="C33" s="12">
        <v>3</v>
      </c>
      <c r="D33" s="14">
        <f t="shared" si="3"/>
        <v>8247.4612677542609</v>
      </c>
      <c r="E33" s="13">
        <f t="shared" si="0"/>
        <v>2333.0066868379249</v>
      </c>
      <c r="F33" s="14">
        <f t="shared" si="1"/>
        <v>5914.4545809163355</v>
      </c>
      <c r="G33" s="13">
        <f t="shared" si="2"/>
        <v>367366.61531315168</v>
      </c>
    </row>
    <row r="34" spans="3:7" x14ac:dyDescent="0.25">
      <c r="C34" s="12">
        <v>4</v>
      </c>
      <c r="D34" s="14">
        <f t="shared" si="3"/>
        <v>8247.4612677542609</v>
      </c>
      <c r="E34" s="13">
        <f t="shared" si="0"/>
        <v>2296.0413457071977</v>
      </c>
      <c r="F34" s="14">
        <f t="shared" si="1"/>
        <v>5951.4199220470637</v>
      </c>
      <c r="G34" s="13">
        <f t="shared" si="2"/>
        <v>361415.19539110461</v>
      </c>
    </row>
    <row r="35" spans="3:7" x14ac:dyDescent="0.25">
      <c r="C35" s="12">
        <v>5</v>
      </c>
      <c r="D35" s="14">
        <f t="shared" si="3"/>
        <v>8247.4612677542609</v>
      </c>
      <c r="E35" s="13">
        <f t="shared" si="0"/>
        <v>2258.8449711944036</v>
      </c>
      <c r="F35" s="14">
        <f t="shared" si="1"/>
        <v>5988.6162965598578</v>
      </c>
      <c r="G35" s="13">
        <f t="shared" si="2"/>
        <v>355426.57909454475</v>
      </c>
    </row>
    <row r="36" spans="3:7" x14ac:dyDescent="0.25">
      <c r="C36" s="12">
        <v>6</v>
      </c>
      <c r="D36" s="14">
        <f t="shared" si="3"/>
        <v>8247.4612677542609</v>
      </c>
      <c r="E36" s="13">
        <f t="shared" si="0"/>
        <v>2221.4161193409045</v>
      </c>
      <c r="F36" s="14">
        <f t="shared" si="1"/>
        <v>6026.0451484133564</v>
      </c>
      <c r="G36" s="13">
        <f t="shared" si="2"/>
        <v>349400.53394613141</v>
      </c>
    </row>
    <row r="37" spans="3:7" x14ac:dyDescent="0.25">
      <c r="C37" s="12">
        <v>7</v>
      </c>
      <c r="D37" s="14">
        <f t="shared" si="3"/>
        <v>8247.4612677542609</v>
      </c>
      <c r="E37" s="13">
        <f t="shared" si="0"/>
        <v>2183.7533371633212</v>
      </c>
      <c r="F37" s="14">
        <f t="shared" si="1"/>
        <v>6063.7079305909392</v>
      </c>
      <c r="G37" s="13">
        <f t="shared" si="2"/>
        <v>343336.82601554046</v>
      </c>
    </row>
    <row r="38" spans="3:7" x14ac:dyDescent="0.25">
      <c r="C38" s="12">
        <v>8</v>
      </c>
      <c r="D38" s="14">
        <f t="shared" si="3"/>
        <v>8247.4612677542609</v>
      </c>
      <c r="E38" s="13">
        <f t="shared" si="0"/>
        <v>2145.8551625971277</v>
      </c>
      <c r="F38" s="14">
        <f t="shared" si="1"/>
        <v>6101.6061051571332</v>
      </c>
      <c r="G38" s="13">
        <f t="shared" si="2"/>
        <v>337235.21991038334</v>
      </c>
    </row>
    <row r="39" spans="3:7" x14ac:dyDescent="0.25">
      <c r="C39" s="12">
        <v>9</v>
      </c>
      <c r="D39" s="14">
        <f t="shared" si="3"/>
        <v>8247.4612677542609</v>
      </c>
      <c r="E39" s="13">
        <f t="shared" si="0"/>
        <v>2107.7201244398957</v>
      </c>
      <c r="F39" s="14">
        <f t="shared" si="1"/>
        <v>6139.7411433143652</v>
      </c>
      <c r="G39" s="13">
        <f t="shared" si="2"/>
        <v>331095.478767069</v>
      </c>
    </row>
    <row r="40" spans="3:7" x14ac:dyDescent="0.25">
      <c r="C40" s="12">
        <v>10</v>
      </c>
      <c r="D40" s="14">
        <f t="shared" si="3"/>
        <v>8247.4612677542609</v>
      </c>
      <c r="E40" s="13">
        <f t="shared" si="0"/>
        <v>2069.3467422941812</v>
      </c>
      <c r="F40" s="14">
        <f t="shared" si="1"/>
        <v>6178.1145254600797</v>
      </c>
      <c r="G40" s="13">
        <f t="shared" si="2"/>
        <v>324917.36424160894</v>
      </c>
    </row>
    <row r="41" spans="3:7" x14ac:dyDescent="0.25">
      <c r="C41" s="12">
        <v>11</v>
      </c>
      <c r="D41" s="14">
        <f t="shared" si="3"/>
        <v>8247.4612677542609</v>
      </c>
      <c r="E41" s="13">
        <f t="shared" si="0"/>
        <v>2030.7335265100558</v>
      </c>
      <c r="F41" s="14">
        <f t="shared" si="1"/>
        <v>6216.7277412442054</v>
      </c>
      <c r="G41" s="13">
        <f t="shared" si="2"/>
        <v>318700.63650036475</v>
      </c>
    </row>
    <row r="42" spans="3:7" x14ac:dyDescent="0.25">
      <c r="C42" s="12">
        <v>12</v>
      </c>
      <c r="D42" s="14">
        <f t="shared" si="3"/>
        <v>8247.4612677542609</v>
      </c>
      <c r="E42" s="13">
        <f t="shared" si="0"/>
        <v>1991.8789781272797</v>
      </c>
      <c r="F42" s="14">
        <f t="shared" si="1"/>
        <v>6255.582289626981</v>
      </c>
      <c r="G42" s="13">
        <f t="shared" si="2"/>
        <v>312445.05421073776</v>
      </c>
    </row>
    <row r="43" spans="3:7" x14ac:dyDescent="0.25">
      <c r="C43" s="12">
        <v>13</v>
      </c>
      <c r="D43" s="14">
        <f t="shared" si="3"/>
        <v>8247.4612677542609</v>
      </c>
      <c r="E43" s="13">
        <f t="shared" si="0"/>
        <v>1952.7815888171108</v>
      </c>
      <c r="F43" s="14">
        <f t="shared" si="1"/>
        <v>6294.6796789371501</v>
      </c>
      <c r="G43" s="13">
        <f t="shared" si="2"/>
        <v>306150.37453180063</v>
      </c>
    </row>
    <row r="44" spans="3:7" x14ac:dyDescent="0.25">
      <c r="C44" s="12">
        <v>14</v>
      </c>
      <c r="D44" s="14">
        <f t="shared" si="3"/>
        <v>8247.4612677542609</v>
      </c>
      <c r="E44" s="13">
        <f t="shared" si="0"/>
        <v>1913.4398408237539</v>
      </c>
      <c r="F44" s="14">
        <f t="shared" si="1"/>
        <v>6334.021426930507</v>
      </c>
      <c r="G44" s="13">
        <f t="shared" si="2"/>
        <v>299816.35310487013</v>
      </c>
    </row>
    <row r="45" spans="3:7" x14ac:dyDescent="0.25">
      <c r="C45" s="12">
        <v>15</v>
      </c>
      <c r="D45" s="14">
        <f t="shared" si="3"/>
        <v>8247.4612677542609</v>
      </c>
      <c r="E45" s="13">
        <f t="shared" si="0"/>
        <v>1873.8522069054382</v>
      </c>
      <c r="F45" s="14">
        <f t="shared" si="1"/>
        <v>6373.609060848823</v>
      </c>
      <c r="G45" s="13">
        <f t="shared" si="2"/>
        <v>293442.7440440213</v>
      </c>
    </row>
    <row r="46" spans="3:7" x14ac:dyDescent="0.25">
      <c r="C46" s="12">
        <v>16</v>
      </c>
      <c r="D46" s="14">
        <f t="shared" si="3"/>
        <v>8247.4612677542609</v>
      </c>
      <c r="E46" s="13">
        <f t="shared" si="0"/>
        <v>1834.017150275133</v>
      </c>
      <c r="F46" s="14">
        <f t="shared" si="1"/>
        <v>6413.4441174791282</v>
      </c>
      <c r="G46" s="13">
        <f t="shared" si="2"/>
        <v>287029.29992654215</v>
      </c>
    </row>
    <row r="47" spans="3:7" x14ac:dyDescent="0.25">
      <c r="C47" s="12">
        <v>17</v>
      </c>
      <c r="D47" s="14">
        <f t="shared" si="3"/>
        <v>8247.4612677542609</v>
      </c>
      <c r="E47" s="13">
        <f t="shared" si="0"/>
        <v>1793.9331245408885</v>
      </c>
      <c r="F47" s="14">
        <f t="shared" si="1"/>
        <v>6453.5281432133725</v>
      </c>
      <c r="G47" s="13">
        <f t="shared" si="2"/>
        <v>280575.77178332879</v>
      </c>
    </row>
    <row r="48" spans="3:7" x14ac:dyDescent="0.25">
      <c r="C48" s="12">
        <v>18</v>
      </c>
      <c r="D48" s="14">
        <f t="shared" si="3"/>
        <v>8247.4612677542609</v>
      </c>
      <c r="E48" s="13">
        <f t="shared" si="0"/>
        <v>1753.5985736458049</v>
      </c>
      <c r="F48" s="14">
        <f t="shared" si="1"/>
        <v>6493.8626941084558</v>
      </c>
      <c r="G48" s="13">
        <f t="shared" si="2"/>
        <v>274081.90908922034</v>
      </c>
    </row>
    <row r="49" spans="3:7" x14ac:dyDescent="0.25">
      <c r="C49" s="12">
        <v>19</v>
      </c>
      <c r="D49" s="14">
        <f t="shared" si="3"/>
        <v>8247.4612677542609</v>
      </c>
      <c r="E49" s="13">
        <f t="shared" si="0"/>
        <v>1713.011931807627</v>
      </c>
      <c r="F49" s="14">
        <f t="shared" si="1"/>
        <v>6534.4493359466342</v>
      </c>
      <c r="G49" s="13">
        <f t="shared" si="2"/>
        <v>267547.4597532737</v>
      </c>
    </row>
    <row r="50" spans="3:7" x14ac:dyDescent="0.25">
      <c r="C50" s="12">
        <v>20</v>
      </c>
      <c r="D50" s="14">
        <f t="shared" si="3"/>
        <v>8247.4612677542609</v>
      </c>
      <c r="E50" s="13">
        <f t="shared" si="0"/>
        <v>1672.1716234579605</v>
      </c>
      <c r="F50" s="14">
        <f t="shared" si="1"/>
        <v>6575.2896442963001</v>
      </c>
      <c r="G50" s="13">
        <f t="shared" si="2"/>
        <v>260972.17010897739</v>
      </c>
    </row>
    <row r="51" spans="3:7" x14ac:dyDescent="0.25">
      <c r="C51" s="12">
        <v>21</v>
      </c>
      <c r="D51" s="14">
        <f t="shared" si="3"/>
        <v>8247.4612677542609</v>
      </c>
      <c r="E51" s="13">
        <f t="shared" si="0"/>
        <v>1631.0760631811088</v>
      </c>
      <c r="F51" s="14">
        <f t="shared" si="1"/>
        <v>6616.3852045731519</v>
      </c>
      <c r="G51" s="13">
        <f t="shared" si="2"/>
        <v>254355.78490440422</v>
      </c>
    </row>
    <row r="52" spans="3:7" x14ac:dyDescent="0.25">
      <c r="C52" s="12">
        <v>22</v>
      </c>
      <c r="D52" s="14">
        <f t="shared" si="3"/>
        <v>8247.4612677542609</v>
      </c>
      <c r="E52" s="13">
        <f t="shared" si="0"/>
        <v>1589.7236556525265</v>
      </c>
      <c r="F52" s="14">
        <f t="shared" si="1"/>
        <v>6657.7376121017342</v>
      </c>
      <c r="G52" s="13">
        <f t="shared" si="2"/>
        <v>247698.04729230248</v>
      </c>
    </row>
    <row r="53" spans="3:7" x14ac:dyDescent="0.25">
      <c r="C53" s="12">
        <v>23</v>
      </c>
      <c r="D53" s="14">
        <f t="shared" si="3"/>
        <v>8247.4612677542609</v>
      </c>
      <c r="E53" s="13">
        <f t="shared" si="0"/>
        <v>1548.1127955768904</v>
      </c>
      <c r="F53" s="14">
        <f t="shared" si="1"/>
        <v>6699.3484721773702</v>
      </c>
      <c r="G53" s="13">
        <f t="shared" si="2"/>
        <v>240998.69882012511</v>
      </c>
    </row>
    <row r="54" spans="3:7" x14ac:dyDescent="0.25">
      <c r="C54" s="12">
        <v>24</v>
      </c>
      <c r="D54" s="14">
        <f t="shared" si="3"/>
        <v>8247.4612677542609</v>
      </c>
      <c r="E54" s="13">
        <f t="shared" si="0"/>
        <v>1506.2418676257819</v>
      </c>
      <c r="F54" s="14">
        <f t="shared" si="1"/>
        <v>6741.2194001284788</v>
      </c>
      <c r="G54" s="13">
        <f t="shared" si="2"/>
        <v>234257.47941999664</v>
      </c>
    </row>
    <row r="55" spans="3:7" x14ac:dyDescent="0.25">
      <c r="C55" s="12">
        <v>25</v>
      </c>
      <c r="D55" s="14">
        <f t="shared" si="3"/>
        <v>8247.4612677542609</v>
      </c>
      <c r="E55" s="13">
        <f t="shared" si="0"/>
        <v>1464.109246374979</v>
      </c>
      <c r="F55" s="14">
        <f t="shared" si="1"/>
        <v>6783.3520213792817</v>
      </c>
      <c r="G55" s="13">
        <f t="shared" si="2"/>
        <v>227474.12739861736</v>
      </c>
    </row>
    <row r="56" spans="3:7" x14ac:dyDescent="0.25">
      <c r="C56" s="12">
        <v>26</v>
      </c>
      <c r="D56" s="14">
        <f t="shared" si="3"/>
        <v>8247.4612677542609</v>
      </c>
      <c r="E56" s="13">
        <f t="shared" si="0"/>
        <v>1421.7132962413586</v>
      </c>
      <c r="F56" s="14">
        <f t="shared" si="1"/>
        <v>6825.747971512902</v>
      </c>
      <c r="G56" s="13">
        <f t="shared" si="2"/>
        <v>220648.37942710446</v>
      </c>
    </row>
    <row r="57" spans="3:7" x14ac:dyDescent="0.25">
      <c r="C57" s="12">
        <v>27</v>
      </c>
      <c r="D57" s="14">
        <f t="shared" si="3"/>
        <v>8247.4612677542609</v>
      </c>
      <c r="E57" s="13">
        <f t="shared" si="0"/>
        <v>1379.052371419403</v>
      </c>
      <c r="F57" s="14">
        <f t="shared" si="1"/>
        <v>6868.4088963348577</v>
      </c>
      <c r="G57" s="13">
        <f t="shared" si="2"/>
        <v>213779.97053076961</v>
      </c>
    </row>
    <row r="58" spans="3:7" x14ac:dyDescent="0.25">
      <c r="C58" s="12">
        <v>28</v>
      </c>
      <c r="D58" s="14">
        <f t="shared" si="3"/>
        <v>8247.4612677542609</v>
      </c>
      <c r="E58" s="13">
        <f t="shared" si="0"/>
        <v>1336.12481581731</v>
      </c>
      <c r="F58" s="14">
        <f t="shared" si="1"/>
        <v>6911.3364519369507</v>
      </c>
      <c r="G58" s="13">
        <f t="shared" si="2"/>
        <v>206868.63407883266</v>
      </c>
    </row>
    <row r="59" spans="3:7" x14ac:dyDescent="0.25">
      <c r="C59" s="12">
        <v>29</v>
      </c>
      <c r="D59" s="14">
        <f t="shared" si="3"/>
        <v>8247.4612677542609</v>
      </c>
      <c r="E59" s="13">
        <f t="shared" si="0"/>
        <v>1292.9289629927041</v>
      </c>
      <c r="F59" s="14">
        <f t="shared" si="1"/>
        <v>6954.5323047615566</v>
      </c>
      <c r="G59" s="13">
        <f t="shared" si="2"/>
        <v>199914.10177407111</v>
      </c>
    </row>
    <row r="60" spans="3:7" x14ac:dyDescent="0.25">
      <c r="C60" s="12">
        <v>30</v>
      </c>
      <c r="D60" s="14">
        <f t="shared" si="3"/>
        <v>8247.4612677542609</v>
      </c>
      <c r="E60" s="13">
        <f t="shared" si="0"/>
        <v>1249.4631360879443</v>
      </c>
      <c r="F60" s="14">
        <f t="shared" si="1"/>
        <v>6997.9981316663161</v>
      </c>
      <c r="G60" s="13">
        <f t="shared" si="2"/>
        <v>192916.10364240481</v>
      </c>
    </row>
    <row r="61" spans="3:7" x14ac:dyDescent="0.25">
      <c r="C61" s="12">
        <v>31</v>
      </c>
      <c r="D61" s="14">
        <f t="shared" si="3"/>
        <v>8247.4612677542609</v>
      </c>
      <c r="E61" s="13">
        <f t="shared" si="0"/>
        <v>1205.7256477650301</v>
      </c>
      <c r="F61" s="14">
        <f t="shared" si="1"/>
        <v>7041.7356199892311</v>
      </c>
      <c r="G61" s="13">
        <f t="shared" si="2"/>
        <v>185874.36802241558</v>
      </c>
    </row>
    <row r="62" spans="3:7" x14ac:dyDescent="0.25">
      <c r="C62" s="12">
        <v>32</v>
      </c>
      <c r="D62" s="14">
        <f t="shared" si="3"/>
        <v>8247.4612677542609</v>
      </c>
      <c r="E62" s="13">
        <f t="shared" si="0"/>
        <v>1161.7148001400974</v>
      </c>
      <c r="F62" s="14">
        <f t="shared" si="1"/>
        <v>7085.7464676141635</v>
      </c>
      <c r="G62" s="13">
        <f t="shared" si="2"/>
        <v>178788.62155480142</v>
      </c>
    </row>
    <row r="63" spans="3:7" x14ac:dyDescent="0.25">
      <c r="C63" s="12">
        <v>33</v>
      </c>
      <c r="D63" s="14">
        <f t="shared" si="3"/>
        <v>8247.4612677542609</v>
      </c>
      <c r="E63" s="13">
        <f t="shared" ref="E63:E90" si="4">IF(C63&gt;Term*Periods,"",G62*Rate/Periods)</f>
        <v>1117.4288847175087</v>
      </c>
      <c r="F63" s="14">
        <f t="shared" ref="F63:F90" si="5">IF(C63&gt;Term*Periods,"",D63-E63)</f>
        <v>7130.0323830367524</v>
      </c>
      <c r="G63" s="13">
        <f t="shared" ref="G63:G90" si="6">IF(C63&gt;Term*Periods,"",G62-F63)</f>
        <v>171658.58917176467</v>
      </c>
    </row>
    <row r="64" spans="3:7" x14ac:dyDescent="0.25">
      <c r="C64" s="12">
        <v>34</v>
      </c>
      <c r="D64" s="14">
        <f t="shared" ref="D64:D90" si="7">IF(C64&gt;Term*Periods,"",IF(C64=Term*Periods,$D$31+$F$24,$D$31))</f>
        <v>8247.4612677542609</v>
      </c>
      <c r="E64" s="13">
        <f t="shared" si="4"/>
        <v>1072.8661823235291</v>
      </c>
      <c r="F64" s="14">
        <f t="shared" si="5"/>
        <v>7174.5950854307321</v>
      </c>
      <c r="G64" s="13">
        <f t="shared" si="6"/>
        <v>164483.99408633393</v>
      </c>
    </row>
    <row r="65" spans="3:7" x14ac:dyDescent="0.25">
      <c r="C65" s="12">
        <v>35</v>
      </c>
      <c r="D65" s="14">
        <f t="shared" si="7"/>
        <v>8247.4612677542609</v>
      </c>
      <c r="E65" s="13">
        <f t="shared" si="4"/>
        <v>1028.024963039587</v>
      </c>
      <c r="F65" s="14">
        <f t="shared" si="5"/>
        <v>7219.4363047146744</v>
      </c>
      <c r="G65" s="13">
        <f t="shared" si="6"/>
        <v>157264.55778161925</v>
      </c>
    </row>
    <row r="66" spans="3:7" x14ac:dyDescent="0.25">
      <c r="C66" s="12">
        <v>36</v>
      </c>
      <c r="D66" s="14">
        <f t="shared" si="7"/>
        <v>158247.46126775426</v>
      </c>
      <c r="E66" s="13">
        <f t="shared" si="4"/>
        <v>982.90348613512026</v>
      </c>
      <c r="F66" s="14">
        <f t="shared" si="5"/>
        <v>157264.55778161914</v>
      </c>
      <c r="G66" s="13">
        <f t="shared" si="6"/>
        <v>1.1641532182693481E-10</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2% and 8%." sqref="F23" xr:uid="{00000000-0002-0000-0100-000003000000}">
      <formula1>0.02</formula1>
      <formula2>0.08</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election activeCell="B24" sqref="B24"/>
    </sheetView>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60</v>
      </c>
      <c r="C18" s="44">
        <v>385000</v>
      </c>
      <c r="E18" s="43" t="s">
        <v>80</v>
      </c>
    </row>
    <row r="19" spans="2:7" ht="15.75" thickBot="1" x14ac:dyDescent="0.3">
      <c r="B19" s="43" t="s">
        <v>61</v>
      </c>
      <c r="C19" s="41">
        <v>3</v>
      </c>
      <c r="E19" s="43" t="s">
        <v>81</v>
      </c>
      <c r="G19" s="48">
        <f>PMT(C20/12,C19*12,-C18)</f>
        <v>11975.893991852727</v>
      </c>
    </row>
    <row r="20" spans="2:7" x14ac:dyDescent="0.25">
      <c r="B20" s="43" t="s">
        <v>16</v>
      </c>
      <c r="C20" s="51">
        <v>7.4999999999999997E-2</v>
      </c>
    </row>
    <row r="21" spans="2:7" x14ac:dyDescent="0.25">
      <c r="B21" s="43" t="s">
        <v>62</v>
      </c>
      <c r="C21" s="44">
        <v>2000</v>
      </c>
      <c r="E21" s="43" t="s">
        <v>79</v>
      </c>
    </row>
    <row r="22" spans="2:7" ht="15.75" thickBot="1" x14ac:dyDescent="0.3">
      <c r="E22" s="43" t="s">
        <v>63</v>
      </c>
    </row>
    <row r="23" spans="2:7" ht="15.75" thickBot="1" x14ac:dyDescent="0.3">
      <c r="E23" s="43" t="s">
        <v>82</v>
      </c>
      <c r="G23" s="87">
        <f>NPER(C20/12,G19+C21,-C18)</f>
        <v>30.326251222543799</v>
      </c>
    </row>
    <row r="25" spans="2:7" x14ac:dyDescent="0.25">
      <c r="E25" s="43" t="s">
        <v>64</v>
      </c>
    </row>
    <row r="26" spans="2:7" x14ac:dyDescent="0.25">
      <c r="E26" s="43" t="s">
        <v>65</v>
      </c>
    </row>
    <row r="27" spans="2:7" x14ac:dyDescent="0.25">
      <c r="E27" s="43" t="s">
        <v>66</v>
      </c>
    </row>
    <row r="28" spans="2:7" x14ac:dyDescent="0.25">
      <c r="E28" s="43" t="s">
        <v>67</v>
      </c>
    </row>
    <row r="29" spans="2:7" x14ac:dyDescent="0.25">
      <c r="E29" s="43" t="s">
        <v>68</v>
      </c>
    </row>
    <row r="30" spans="2:7" ht="15.75" thickBot="1" x14ac:dyDescent="0.3">
      <c r="E30" s="43" t="s">
        <v>69</v>
      </c>
    </row>
    <row r="31" spans="2:7" ht="15.75" thickBot="1" x14ac:dyDescent="0.3">
      <c r="E31" s="43" t="s">
        <v>70</v>
      </c>
      <c r="G31" s="5">
        <f>(G19*C19*12)-(G23*(G19+C21))</f>
        <v>7295.7114501319011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5"/>
  <sheetViews>
    <sheetView zoomScale="115" zoomScaleNormal="115" workbookViewId="0">
      <selection activeCell="D4" sqref="D4"/>
    </sheetView>
  </sheetViews>
  <sheetFormatPr defaultRowHeight="15" x14ac:dyDescent="0.25"/>
  <cols>
    <col min="1" max="1" width="4.42578125" customWidth="1"/>
    <col min="7" max="7" width="17.5703125" customWidth="1"/>
    <col min="8" max="8" width="14.5703125" customWidth="1"/>
    <col min="10" max="10" width="13.5703125" bestFit="1" customWidth="1"/>
    <col min="13" max="13" width="11.7109375" customWidth="1"/>
    <col min="14" max="14" width="17" style="86" customWidth="1"/>
    <col min="15" max="15" width="14.42578125" customWidth="1"/>
    <col min="16" max="16" width="15.140625" customWidth="1"/>
    <col min="17" max="17" width="21.5703125" customWidth="1"/>
  </cols>
  <sheetData>
    <row r="2" spans="2:16" x14ac:dyDescent="0.25">
      <c r="B2" s="108" t="s">
        <v>97</v>
      </c>
      <c r="C2" s="52"/>
      <c r="D2" s="52"/>
      <c r="E2" s="52"/>
      <c r="F2" s="52"/>
      <c r="G2" s="52"/>
      <c r="H2" s="52"/>
      <c r="I2" s="52"/>
      <c r="J2" s="52"/>
      <c r="K2" s="52"/>
    </row>
    <row r="3" spans="2:16" x14ac:dyDescent="0.25">
      <c r="B3" s="108" t="s">
        <v>281</v>
      </c>
      <c r="C3" s="52"/>
      <c r="D3" s="52"/>
      <c r="E3" s="52"/>
      <c r="F3" s="52"/>
      <c r="G3" s="52"/>
      <c r="H3" s="52"/>
      <c r="I3" s="52"/>
      <c r="J3" s="52"/>
      <c r="K3" s="52"/>
    </row>
    <row r="4" spans="2:16" x14ac:dyDescent="0.25">
      <c r="B4" s="108" t="s">
        <v>245</v>
      </c>
      <c r="C4" s="52"/>
      <c r="D4" s="52"/>
      <c r="E4" s="52"/>
      <c r="F4" s="52"/>
      <c r="G4" s="52"/>
      <c r="H4" s="52"/>
      <c r="I4" s="52"/>
      <c r="J4" s="52"/>
      <c r="K4" s="52"/>
    </row>
    <row r="5" spans="2:16" ht="24" customHeight="1" x14ac:dyDescent="0.25">
      <c r="B5" s="108" t="s">
        <v>278</v>
      </c>
      <c r="C5" s="52"/>
      <c r="D5" s="52"/>
      <c r="E5" s="52"/>
      <c r="F5" s="52"/>
      <c r="G5" s="52"/>
      <c r="H5" s="52"/>
      <c r="I5" s="52"/>
      <c r="J5" s="52"/>
      <c r="K5" s="52"/>
    </row>
    <row r="6" spans="2:16" x14ac:dyDescent="0.25">
      <c r="B6" s="108" t="s">
        <v>279</v>
      </c>
      <c r="C6" s="52"/>
      <c r="D6" s="52"/>
      <c r="E6" s="52"/>
      <c r="F6" s="52"/>
      <c r="G6" s="52"/>
      <c r="H6" s="52"/>
      <c r="I6" s="52"/>
      <c r="J6" s="52"/>
      <c r="K6" s="52"/>
    </row>
    <row r="7" spans="2:16" x14ac:dyDescent="0.25">
      <c r="B7" s="108" t="s">
        <v>179</v>
      </c>
      <c r="C7" s="52"/>
      <c r="D7" s="52"/>
      <c r="E7" s="52"/>
      <c r="F7" s="52"/>
      <c r="G7" s="52"/>
      <c r="H7" s="52"/>
      <c r="I7" s="52"/>
      <c r="J7" s="52"/>
      <c r="K7" s="52"/>
    </row>
    <row r="8" spans="2:16" ht="9" customHeight="1" x14ac:dyDescent="0.25">
      <c r="B8" s="108"/>
      <c r="C8" s="52"/>
      <c r="D8" s="52"/>
      <c r="E8" s="52"/>
      <c r="F8" s="52"/>
      <c r="G8" s="52"/>
      <c r="H8" s="52"/>
      <c r="I8" s="52"/>
      <c r="J8" s="52"/>
      <c r="K8" s="52"/>
    </row>
    <row r="9" spans="2:16" x14ac:dyDescent="0.25">
      <c r="B9" s="108" t="s">
        <v>180</v>
      </c>
      <c r="C9" s="52"/>
      <c r="D9" s="52"/>
      <c r="E9" s="52"/>
      <c r="F9" s="52"/>
      <c r="G9" s="52"/>
      <c r="H9" s="52"/>
      <c r="I9" s="52"/>
      <c r="J9" s="52"/>
      <c r="K9" s="52"/>
    </row>
    <row r="10" spans="2:16" x14ac:dyDescent="0.25">
      <c r="B10" s="108" t="s">
        <v>181</v>
      </c>
      <c r="C10" s="52"/>
      <c r="D10" s="52"/>
      <c r="E10" s="52"/>
      <c r="F10" s="52"/>
      <c r="G10" s="52"/>
      <c r="H10" s="52"/>
      <c r="I10" s="52"/>
      <c r="J10" s="52"/>
      <c r="K10" s="52"/>
    </row>
    <row r="11" spans="2:16" x14ac:dyDescent="0.25">
      <c r="B11" s="108" t="s">
        <v>182</v>
      </c>
      <c r="C11" s="52"/>
      <c r="D11" s="52"/>
      <c r="E11" s="52"/>
      <c r="F11" s="52"/>
      <c r="G11" s="52"/>
      <c r="H11" s="52"/>
      <c r="I11" s="52"/>
      <c r="J11" s="52"/>
      <c r="K11" s="52"/>
      <c r="O11" s="84"/>
      <c r="P11" s="84"/>
    </row>
    <row r="12" spans="2:16" s="83" customFormat="1" ht="8.65" customHeight="1" x14ac:dyDescent="0.25">
      <c r="B12" s="108"/>
      <c r="N12" s="86"/>
      <c r="O12" s="84"/>
      <c r="P12" s="84"/>
    </row>
    <row r="13" spans="2:16" s="83" customFormat="1" x14ac:dyDescent="0.25">
      <c r="B13" s="108" t="s">
        <v>98</v>
      </c>
      <c r="N13" s="86"/>
      <c r="O13" s="84"/>
      <c r="P13" s="84"/>
    </row>
    <row r="14" spans="2:16" s="83" customFormat="1" x14ac:dyDescent="0.25">
      <c r="B14" s="108" t="s">
        <v>99</v>
      </c>
      <c r="N14" s="86"/>
      <c r="O14" s="84"/>
      <c r="P14" s="84"/>
    </row>
    <row r="15" spans="2:16" s="83" customFormat="1" ht="15.75" thickBot="1" x14ac:dyDescent="0.3">
      <c r="N15" s="86"/>
      <c r="O15" s="84"/>
      <c r="P15" s="84"/>
    </row>
    <row r="16" spans="2:16" ht="15.75" thickBot="1" x14ac:dyDescent="0.3">
      <c r="B16" s="52"/>
      <c r="C16" s="52" t="s">
        <v>100</v>
      </c>
      <c r="D16" s="52"/>
      <c r="E16" s="52"/>
      <c r="F16" s="52"/>
      <c r="G16" s="52"/>
      <c r="H16" s="56">
        <v>5.5E-2</v>
      </c>
      <c r="I16" s="52"/>
      <c r="J16" s="52"/>
      <c r="K16" s="52"/>
      <c r="O16" s="84" t="s">
        <v>173</v>
      </c>
      <c r="P16" s="84" t="s">
        <v>175</v>
      </c>
    </row>
    <row r="17" spans="2:16" ht="15.75" thickBot="1" x14ac:dyDescent="0.3">
      <c r="B17" s="54"/>
      <c r="C17" s="54"/>
      <c r="D17" s="54"/>
      <c r="E17" s="54"/>
      <c r="F17" s="54"/>
      <c r="G17" s="54"/>
      <c r="H17" s="54"/>
      <c r="I17" s="54"/>
      <c r="J17" s="54"/>
      <c r="K17" s="54"/>
      <c r="L17" s="101" t="s">
        <v>199</v>
      </c>
      <c r="M17" s="84" t="s">
        <v>176</v>
      </c>
      <c r="N17" s="84" t="s">
        <v>177</v>
      </c>
      <c r="O17" s="84" t="s">
        <v>174</v>
      </c>
      <c r="P17" s="84" t="s">
        <v>14</v>
      </c>
    </row>
    <row r="18" spans="2:16" ht="15.75" thickBot="1" x14ac:dyDescent="0.3">
      <c r="B18" s="139" t="s">
        <v>101</v>
      </c>
      <c r="C18" s="139"/>
      <c r="D18" s="139"/>
      <c r="E18" s="139"/>
      <c r="F18" s="139"/>
      <c r="G18" s="139"/>
      <c r="H18" s="139"/>
      <c r="I18" s="139"/>
      <c r="J18" s="139"/>
      <c r="K18" s="139"/>
      <c r="L18">
        <v>0</v>
      </c>
      <c r="M18" s="85">
        <v>44562</v>
      </c>
      <c r="N18" s="86" t="s">
        <v>128</v>
      </c>
      <c r="O18" s="53">
        <v>15000</v>
      </c>
      <c r="P18" s="53">
        <f>O18</f>
        <v>15000</v>
      </c>
    </row>
    <row r="19" spans="2:16" x14ac:dyDescent="0.25">
      <c r="L19">
        <v>1</v>
      </c>
      <c r="M19" s="85">
        <v>44927</v>
      </c>
      <c r="N19" s="86" t="s">
        <v>129</v>
      </c>
      <c r="O19" s="53">
        <f>H23</f>
        <v>28514.956834323493</v>
      </c>
      <c r="P19" s="53">
        <f>O19+(P18*(1+$H$16))</f>
        <v>44339.956834323493</v>
      </c>
    </row>
    <row r="20" spans="2:16" x14ac:dyDescent="0.25">
      <c r="C20" s="55" t="s">
        <v>102</v>
      </c>
      <c r="D20" t="s">
        <v>282</v>
      </c>
      <c r="H20" s="53">
        <f>-PV(H16,30,180000,0)</f>
        <v>2616074.1308019711</v>
      </c>
      <c r="J20" s="95"/>
      <c r="L20">
        <v>2</v>
      </c>
      <c r="M20" s="85">
        <v>45292</v>
      </c>
      <c r="N20" s="86" t="s">
        <v>130</v>
      </c>
      <c r="O20" s="53">
        <f t="shared" ref="O20:O47" si="0">O19</f>
        <v>28514.956834323493</v>
      </c>
      <c r="P20" s="95">
        <f t="shared" ref="P20:P77" si="1">O20+(P19*(1+$H$16))</f>
        <v>75293.611294534785</v>
      </c>
    </row>
    <row r="21" spans="2:16" x14ac:dyDescent="0.25">
      <c r="C21" s="55" t="s">
        <v>103</v>
      </c>
      <c r="D21" t="s">
        <v>283</v>
      </c>
      <c r="H21" s="53">
        <f>-PV(H16,34,0,H20)</f>
        <v>423707.76075203781</v>
      </c>
      <c r="L21" s="99">
        <v>3</v>
      </c>
      <c r="M21" s="85">
        <v>45658</v>
      </c>
      <c r="N21" s="86" t="s">
        <v>131</v>
      </c>
      <c r="O21" s="53">
        <f t="shared" si="0"/>
        <v>28514.956834323493</v>
      </c>
      <c r="P21" s="95">
        <f t="shared" si="1"/>
        <v>107949.71675005768</v>
      </c>
    </row>
    <row r="22" spans="2:16" x14ac:dyDescent="0.25">
      <c r="C22" t="s">
        <v>104</v>
      </c>
      <c r="D22" t="s">
        <v>183</v>
      </c>
      <c r="H22" s="88">
        <f>H21-15000</f>
        <v>408707.76075203781</v>
      </c>
      <c r="L22" s="99">
        <v>4</v>
      </c>
      <c r="M22" s="85">
        <v>46023</v>
      </c>
      <c r="N22" s="86" t="s">
        <v>132</v>
      </c>
      <c r="O22" s="53">
        <f t="shared" si="0"/>
        <v>28514.956834323493</v>
      </c>
      <c r="P22" s="95">
        <f t="shared" si="1"/>
        <v>142401.90800563432</v>
      </c>
    </row>
    <row r="23" spans="2:16" x14ac:dyDescent="0.25">
      <c r="C23" s="90" t="s">
        <v>252</v>
      </c>
      <c r="D23" t="s">
        <v>271</v>
      </c>
      <c r="H23" s="53">
        <f>PMT(H16,29,-H22,0)</f>
        <v>28514.956834323493</v>
      </c>
      <c r="I23" s="55" t="s">
        <v>105</v>
      </c>
      <c r="L23" s="99">
        <v>5</v>
      </c>
      <c r="M23" s="85">
        <v>46388</v>
      </c>
      <c r="N23" s="86" t="s">
        <v>133</v>
      </c>
      <c r="O23" s="53">
        <f t="shared" si="0"/>
        <v>28514.956834323493</v>
      </c>
      <c r="P23" s="95">
        <f t="shared" si="1"/>
        <v>178748.96978026771</v>
      </c>
    </row>
    <row r="24" spans="2:16" x14ac:dyDescent="0.25">
      <c r="D24" t="s">
        <v>184</v>
      </c>
      <c r="L24" s="99">
        <v>6</v>
      </c>
      <c r="M24" s="85">
        <v>46753</v>
      </c>
      <c r="N24" s="86" t="s">
        <v>134</v>
      </c>
      <c r="O24" s="53">
        <f t="shared" si="0"/>
        <v>28514.956834323493</v>
      </c>
      <c r="P24" s="95">
        <f t="shared" si="1"/>
        <v>217095.11995250592</v>
      </c>
    </row>
    <row r="25" spans="2:16" ht="18.75" x14ac:dyDescent="0.3">
      <c r="C25" s="108"/>
      <c r="D25" s="140" t="s">
        <v>251</v>
      </c>
      <c r="E25" s="140"/>
      <c r="F25" s="140"/>
      <c r="G25" s="140"/>
      <c r="H25" s="140"/>
      <c r="I25" s="108"/>
      <c r="L25" s="99">
        <v>7</v>
      </c>
      <c r="M25" s="85">
        <v>47119</v>
      </c>
      <c r="N25" s="86" t="s">
        <v>135</v>
      </c>
      <c r="O25" s="53">
        <f t="shared" si="0"/>
        <v>28514.956834323493</v>
      </c>
      <c r="P25" s="95">
        <f t="shared" si="1"/>
        <v>257550.30838421723</v>
      </c>
    </row>
    <row r="26" spans="2:16" x14ac:dyDescent="0.25">
      <c r="C26" s="90" t="s">
        <v>102</v>
      </c>
      <c r="D26" s="108" t="s">
        <v>284</v>
      </c>
      <c r="E26" s="108"/>
      <c r="F26" s="108"/>
      <c r="G26" s="108"/>
      <c r="H26" s="95">
        <f>-PV(H16,30,180000,0,1)</f>
        <v>2759958.2079960797</v>
      </c>
      <c r="I26" s="108"/>
      <c r="L26" s="99">
        <v>8</v>
      </c>
      <c r="M26" s="85">
        <v>47484</v>
      </c>
      <c r="N26" s="86" t="s">
        <v>136</v>
      </c>
      <c r="O26" s="53">
        <f t="shared" si="0"/>
        <v>28514.956834323493</v>
      </c>
      <c r="P26" s="95">
        <f t="shared" si="1"/>
        <v>300230.53217967262</v>
      </c>
    </row>
    <row r="27" spans="2:16" x14ac:dyDescent="0.25">
      <c r="C27" s="90" t="s">
        <v>103</v>
      </c>
      <c r="D27" s="108" t="s">
        <v>283</v>
      </c>
      <c r="E27" s="108"/>
      <c r="F27" s="108"/>
      <c r="G27" s="108"/>
      <c r="H27" s="95">
        <f>-PV(H16,35,0,H26)</f>
        <v>423707.76075203792</v>
      </c>
      <c r="I27" s="108"/>
      <c r="L27" s="99">
        <v>9</v>
      </c>
      <c r="M27" s="85">
        <v>47849</v>
      </c>
      <c r="N27" s="86" t="s">
        <v>137</v>
      </c>
      <c r="O27" s="53">
        <f t="shared" si="0"/>
        <v>28514.956834323493</v>
      </c>
      <c r="P27" s="95">
        <f t="shared" si="1"/>
        <v>345258.16828387807</v>
      </c>
    </row>
    <row r="28" spans="2:16" x14ac:dyDescent="0.25">
      <c r="C28" s="108" t="s">
        <v>104</v>
      </c>
      <c r="D28" s="108" t="s">
        <v>183</v>
      </c>
      <c r="E28" s="108"/>
      <c r="F28" s="108"/>
      <c r="G28" s="108"/>
      <c r="H28" s="95">
        <f>H27-15000</f>
        <v>408707.76075203792</v>
      </c>
      <c r="I28" s="108"/>
      <c r="L28" s="99">
        <v>10</v>
      </c>
      <c r="M28" s="85">
        <v>48214</v>
      </c>
      <c r="N28" s="86" t="s">
        <v>138</v>
      </c>
      <c r="O28" s="53">
        <f t="shared" si="0"/>
        <v>28514.956834323493</v>
      </c>
      <c r="P28" s="95">
        <f t="shared" si="1"/>
        <v>392762.3243738148</v>
      </c>
    </row>
    <row r="29" spans="2:16" x14ac:dyDescent="0.25">
      <c r="C29" s="90" t="s">
        <v>252</v>
      </c>
      <c r="D29" s="108" t="s">
        <v>271</v>
      </c>
      <c r="E29" s="108"/>
      <c r="F29" s="108"/>
      <c r="G29" s="108"/>
      <c r="H29" s="95">
        <f>PMT(H16,29,-H28,0)</f>
        <v>28514.956834323497</v>
      </c>
      <c r="I29" s="90" t="s">
        <v>105</v>
      </c>
      <c r="L29" s="99">
        <v>11</v>
      </c>
      <c r="M29" s="85">
        <v>48580</v>
      </c>
      <c r="N29" s="86" t="s">
        <v>139</v>
      </c>
      <c r="O29" s="53">
        <f t="shared" si="0"/>
        <v>28514.956834323493</v>
      </c>
      <c r="P29" s="95">
        <f t="shared" si="1"/>
        <v>442879.20904869807</v>
      </c>
    </row>
    <row r="30" spans="2:16" x14ac:dyDescent="0.25">
      <c r="D30" s="108" t="s">
        <v>184</v>
      </c>
      <c r="I30" s="108"/>
      <c r="L30" s="99">
        <v>12</v>
      </c>
      <c r="M30" s="85">
        <v>48945</v>
      </c>
      <c r="N30" s="86" t="s">
        <v>140</v>
      </c>
      <c r="O30" s="53">
        <f t="shared" si="0"/>
        <v>28514.956834323493</v>
      </c>
      <c r="P30" s="95">
        <f t="shared" si="1"/>
        <v>495752.52238069993</v>
      </c>
    </row>
    <row r="31" spans="2:16" x14ac:dyDescent="0.25">
      <c r="C31" s="108"/>
      <c r="D31" s="108"/>
      <c r="E31" s="108"/>
      <c r="F31" s="108"/>
      <c r="G31" s="108"/>
      <c r="H31" s="108"/>
      <c r="I31" s="108"/>
      <c r="L31" s="99">
        <v>13</v>
      </c>
      <c r="M31" s="85">
        <v>49310</v>
      </c>
      <c r="N31" s="86" t="s">
        <v>141</v>
      </c>
      <c r="O31" s="53">
        <f t="shared" si="0"/>
        <v>28514.956834323493</v>
      </c>
      <c r="P31" s="95">
        <f t="shared" si="1"/>
        <v>551533.86794596189</v>
      </c>
    </row>
    <row r="32" spans="2:16" x14ac:dyDescent="0.25">
      <c r="L32" s="99">
        <v>14</v>
      </c>
      <c r="M32" s="85">
        <v>49675</v>
      </c>
      <c r="N32" s="86" t="s">
        <v>142</v>
      </c>
      <c r="O32" s="53">
        <f t="shared" si="0"/>
        <v>28514.956834323493</v>
      </c>
      <c r="P32" s="95">
        <f t="shared" si="1"/>
        <v>610383.18751731317</v>
      </c>
    </row>
    <row r="33" spans="12:16" x14ac:dyDescent="0.25">
      <c r="L33" s="99">
        <v>15</v>
      </c>
      <c r="M33" s="85">
        <v>50041</v>
      </c>
      <c r="N33" s="86" t="s">
        <v>143</v>
      </c>
      <c r="O33" s="53">
        <f t="shared" si="0"/>
        <v>28514.956834323493</v>
      </c>
      <c r="P33" s="95">
        <f t="shared" si="1"/>
        <v>672469.21966508881</v>
      </c>
    </row>
    <row r="34" spans="12:16" x14ac:dyDescent="0.25">
      <c r="L34" s="99">
        <v>16</v>
      </c>
      <c r="M34" s="85">
        <v>50406</v>
      </c>
      <c r="N34" s="86" t="s">
        <v>144</v>
      </c>
      <c r="O34" s="53">
        <f t="shared" si="0"/>
        <v>28514.956834323493</v>
      </c>
      <c r="P34" s="95">
        <f t="shared" si="1"/>
        <v>737969.98358099209</v>
      </c>
    </row>
    <row r="35" spans="12:16" x14ac:dyDescent="0.25">
      <c r="L35" s="99">
        <v>17</v>
      </c>
      <c r="M35" s="85">
        <v>50771</v>
      </c>
      <c r="N35" s="86" t="s">
        <v>145</v>
      </c>
      <c r="O35" s="53">
        <f t="shared" si="0"/>
        <v>28514.956834323493</v>
      </c>
      <c r="P35" s="95">
        <f t="shared" si="1"/>
        <v>807073.28951227013</v>
      </c>
    </row>
    <row r="36" spans="12:16" x14ac:dyDescent="0.25">
      <c r="L36" s="99">
        <v>18</v>
      </c>
      <c r="M36" s="85">
        <v>51136</v>
      </c>
      <c r="N36" s="86" t="s">
        <v>146</v>
      </c>
      <c r="O36" s="53">
        <f t="shared" si="0"/>
        <v>28514.956834323493</v>
      </c>
      <c r="P36" s="95">
        <f t="shared" si="1"/>
        <v>879977.27726976841</v>
      </c>
    </row>
    <row r="37" spans="12:16" x14ac:dyDescent="0.25">
      <c r="L37" s="99">
        <v>19</v>
      </c>
      <c r="M37" s="85">
        <v>51502</v>
      </c>
      <c r="N37" s="86" t="s">
        <v>147</v>
      </c>
      <c r="O37" s="53">
        <f t="shared" si="0"/>
        <v>28514.956834323493</v>
      </c>
      <c r="P37" s="95">
        <f t="shared" si="1"/>
        <v>956890.98435392906</v>
      </c>
    </row>
    <row r="38" spans="12:16" x14ac:dyDescent="0.25">
      <c r="L38" s="99">
        <v>20</v>
      </c>
      <c r="M38" s="85">
        <v>51867</v>
      </c>
      <c r="N38" s="86" t="s">
        <v>148</v>
      </c>
      <c r="O38" s="53">
        <f t="shared" si="0"/>
        <v>28514.956834323493</v>
      </c>
      <c r="P38" s="95">
        <f t="shared" si="1"/>
        <v>1038034.9453277186</v>
      </c>
    </row>
    <row r="39" spans="12:16" x14ac:dyDescent="0.25">
      <c r="L39" s="99">
        <v>21</v>
      </c>
      <c r="M39" s="85">
        <v>52232</v>
      </c>
      <c r="N39" s="86" t="s">
        <v>149</v>
      </c>
      <c r="O39" s="53">
        <f t="shared" si="0"/>
        <v>28514.956834323493</v>
      </c>
      <c r="P39" s="95">
        <f t="shared" si="1"/>
        <v>1123641.8241550666</v>
      </c>
    </row>
    <row r="40" spans="12:16" x14ac:dyDescent="0.25">
      <c r="L40" s="99">
        <v>22</v>
      </c>
      <c r="M40" s="85">
        <v>52597</v>
      </c>
      <c r="N40" s="86" t="s">
        <v>150</v>
      </c>
      <c r="O40" s="53">
        <f t="shared" si="0"/>
        <v>28514.956834323493</v>
      </c>
      <c r="P40" s="95">
        <f t="shared" si="1"/>
        <v>1213957.0813179186</v>
      </c>
    </row>
    <row r="41" spans="12:16" x14ac:dyDescent="0.25">
      <c r="L41" s="99">
        <v>23</v>
      </c>
      <c r="M41" s="85">
        <v>52963</v>
      </c>
      <c r="N41" s="86" t="s">
        <v>151</v>
      </c>
      <c r="O41" s="53">
        <f t="shared" si="0"/>
        <v>28514.956834323493</v>
      </c>
      <c r="P41" s="95">
        <f t="shared" si="1"/>
        <v>1309239.6776247276</v>
      </c>
    </row>
    <row r="42" spans="12:16" x14ac:dyDescent="0.25">
      <c r="L42" s="99">
        <v>24</v>
      </c>
      <c r="M42" s="85">
        <v>53328</v>
      </c>
      <c r="N42" s="86" t="s">
        <v>152</v>
      </c>
      <c r="O42" s="53">
        <f t="shared" si="0"/>
        <v>28514.956834323493</v>
      </c>
      <c r="P42" s="95">
        <f t="shared" si="1"/>
        <v>1409762.816728411</v>
      </c>
    </row>
    <row r="43" spans="12:16" x14ac:dyDescent="0.25">
      <c r="L43" s="99">
        <v>25</v>
      </c>
      <c r="M43" s="85">
        <v>53693</v>
      </c>
      <c r="N43" s="86" t="s">
        <v>272</v>
      </c>
      <c r="O43" s="95">
        <f t="shared" si="0"/>
        <v>28514.956834323493</v>
      </c>
      <c r="P43" s="95">
        <f t="shared" si="1"/>
        <v>1515814.728482797</v>
      </c>
    </row>
    <row r="44" spans="12:16" x14ac:dyDescent="0.25">
      <c r="L44" s="99">
        <v>26</v>
      </c>
      <c r="M44" s="85">
        <v>54058</v>
      </c>
      <c r="N44" s="86" t="s">
        <v>273</v>
      </c>
      <c r="O44" s="95">
        <f t="shared" si="0"/>
        <v>28514.956834323493</v>
      </c>
      <c r="P44" s="95">
        <f t="shared" si="1"/>
        <v>1627699.4953836743</v>
      </c>
    </row>
    <row r="45" spans="12:16" x14ac:dyDescent="0.25">
      <c r="L45" s="99">
        <v>27</v>
      </c>
      <c r="M45" s="85">
        <v>54424</v>
      </c>
      <c r="N45" s="86" t="s">
        <v>274</v>
      </c>
      <c r="O45" s="95">
        <f t="shared" si="0"/>
        <v>28514.956834323493</v>
      </c>
      <c r="P45" s="95">
        <f t="shared" si="1"/>
        <v>1745737.9244640998</v>
      </c>
    </row>
    <row r="46" spans="12:16" x14ac:dyDescent="0.25">
      <c r="L46" s="99">
        <v>28</v>
      </c>
      <c r="M46" s="85">
        <v>54789</v>
      </c>
      <c r="N46" s="86" t="s">
        <v>275</v>
      </c>
      <c r="O46" s="95">
        <f t="shared" si="0"/>
        <v>28514.956834323493</v>
      </c>
      <c r="P46" s="95">
        <f t="shared" si="1"/>
        <v>1870268.4671439487</v>
      </c>
    </row>
    <row r="47" spans="12:16" x14ac:dyDescent="0.25">
      <c r="L47" s="99">
        <v>29</v>
      </c>
      <c r="M47" s="85">
        <v>55154</v>
      </c>
      <c r="N47" s="86" t="s">
        <v>280</v>
      </c>
      <c r="O47" s="95">
        <f t="shared" si="0"/>
        <v>28514.956834323493</v>
      </c>
      <c r="P47" s="95">
        <f t="shared" si="1"/>
        <v>2001648.1896711893</v>
      </c>
    </row>
    <row r="48" spans="12:16" x14ac:dyDescent="0.25">
      <c r="L48" s="126">
        <v>30</v>
      </c>
      <c r="M48" s="85">
        <v>55519</v>
      </c>
      <c r="N48" s="86" t="s">
        <v>178</v>
      </c>
      <c r="O48" s="108">
        <v>0</v>
      </c>
      <c r="P48" s="95">
        <f t="shared" si="1"/>
        <v>2111738.8401031047</v>
      </c>
    </row>
    <row r="49" spans="8:16" x14ac:dyDescent="0.25">
      <c r="L49" s="99">
        <v>31</v>
      </c>
      <c r="M49" s="85">
        <v>55885</v>
      </c>
      <c r="N49" s="86" t="s">
        <v>178</v>
      </c>
      <c r="O49" s="108">
        <v>0</v>
      </c>
      <c r="P49" s="95">
        <f t="shared" si="1"/>
        <v>2227884.4763087751</v>
      </c>
    </row>
    <row r="50" spans="8:16" x14ac:dyDescent="0.25">
      <c r="L50" s="99">
        <v>32</v>
      </c>
      <c r="M50" s="85">
        <v>56250</v>
      </c>
      <c r="N50" s="86" t="s">
        <v>178</v>
      </c>
      <c r="O50" s="108">
        <v>0</v>
      </c>
      <c r="P50" s="95">
        <f t="shared" si="1"/>
        <v>2350418.1225057575</v>
      </c>
    </row>
    <row r="51" spans="8:16" x14ac:dyDescent="0.25">
      <c r="L51" s="126">
        <v>33</v>
      </c>
      <c r="M51" s="85">
        <v>56615</v>
      </c>
      <c r="N51" s="86" t="s">
        <v>178</v>
      </c>
      <c r="O51" s="108">
        <v>0</v>
      </c>
      <c r="P51" s="95">
        <f t="shared" si="1"/>
        <v>2479691.1192435739</v>
      </c>
    </row>
    <row r="52" spans="8:16" x14ac:dyDescent="0.25">
      <c r="L52" s="99">
        <v>34</v>
      </c>
      <c r="M52" s="85">
        <v>56980</v>
      </c>
      <c r="N52" s="86" t="s">
        <v>178</v>
      </c>
      <c r="O52" s="108">
        <v>0</v>
      </c>
      <c r="P52" s="95">
        <f t="shared" si="1"/>
        <v>2616074.1308019701</v>
      </c>
    </row>
    <row r="53" spans="8:16" x14ac:dyDescent="0.25">
      <c r="L53" s="99">
        <v>35</v>
      </c>
      <c r="M53" s="85">
        <v>57346</v>
      </c>
      <c r="N53" s="86" t="s">
        <v>153</v>
      </c>
      <c r="O53" s="108">
        <v>-180000</v>
      </c>
      <c r="P53" s="95">
        <f t="shared" si="1"/>
        <v>2579958.2079960783</v>
      </c>
    </row>
    <row r="54" spans="8:16" x14ac:dyDescent="0.25">
      <c r="L54" s="99">
        <v>36</v>
      </c>
      <c r="M54" s="85">
        <v>57711</v>
      </c>
      <c r="N54" s="86" t="s">
        <v>154</v>
      </c>
      <c r="O54" s="108">
        <v>-180000</v>
      </c>
      <c r="P54" s="95">
        <f t="shared" si="1"/>
        <v>2541855.9094358627</v>
      </c>
    </row>
    <row r="55" spans="8:16" x14ac:dyDescent="0.25">
      <c r="H55" s="95"/>
      <c r="L55" s="108">
        <v>37</v>
      </c>
      <c r="M55" s="85">
        <v>58076</v>
      </c>
      <c r="N55" s="86" t="s">
        <v>155</v>
      </c>
      <c r="O55" s="108">
        <v>-180000</v>
      </c>
      <c r="P55" s="95">
        <f t="shared" si="1"/>
        <v>2501657.9844548348</v>
      </c>
    </row>
    <row r="56" spans="8:16" x14ac:dyDescent="0.25">
      <c r="L56" s="108">
        <v>38</v>
      </c>
      <c r="M56" s="85">
        <v>58441</v>
      </c>
      <c r="N56" s="86" t="s">
        <v>156</v>
      </c>
      <c r="O56" s="108">
        <v>-180000</v>
      </c>
      <c r="P56" s="95">
        <f t="shared" si="1"/>
        <v>2459249.1735998504</v>
      </c>
    </row>
    <row r="57" spans="8:16" x14ac:dyDescent="0.25">
      <c r="L57" s="108">
        <v>39</v>
      </c>
      <c r="M57" s="85">
        <v>58807</v>
      </c>
      <c r="N57" s="86" t="s">
        <v>157</v>
      </c>
      <c r="O57" s="108">
        <v>-180000</v>
      </c>
      <c r="P57" s="95">
        <f t="shared" si="1"/>
        <v>2414507.8781478419</v>
      </c>
    </row>
    <row r="58" spans="8:16" x14ac:dyDescent="0.25">
      <c r="L58" s="108">
        <v>40</v>
      </c>
      <c r="M58" s="85">
        <v>59172</v>
      </c>
      <c r="N58" s="86" t="s">
        <v>158</v>
      </c>
      <c r="O58" s="108">
        <v>-180000</v>
      </c>
      <c r="P58" s="95">
        <f t="shared" si="1"/>
        <v>2367305.8114459729</v>
      </c>
    </row>
    <row r="59" spans="8:16" x14ac:dyDescent="0.25">
      <c r="L59" s="108">
        <v>41</v>
      </c>
      <c r="M59" s="85">
        <v>59537</v>
      </c>
      <c r="N59" s="86" t="s">
        <v>159</v>
      </c>
      <c r="O59" s="108">
        <v>-180000</v>
      </c>
      <c r="P59" s="95">
        <f t="shared" si="1"/>
        <v>2317507.6310755014</v>
      </c>
    </row>
    <row r="60" spans="8:16" x14ac:dyDescent="0.25">
      <c r="L60" s="108">
        <v>42</v>
      </c>
      <c r="M60" s="85">
        <v>59902</v>
      </c>
      <c r="N60" s="86" t="s">
        <v>160</v>
      </c>
      <c r="O60" s="108">
        <v>-180000</v>
      </c>
      <c r="P60" s="95">
        <f t="shared" si="1"/>
        <v>2264970.550784654</v>
      </c>
    </row>
    <row r="61" spans="8:16" x14ac:dyDescent="0.25">
      <c r="L61" s="108">
        <v>43</v>
      </c>
      <c r="M61" s="85">
        <v>60268</v>
      </c>
      <c r="N61" s="86" t="s">
        <v>161</v>
      </c>
      <c r="O61" s="108">
        <v>-180000</v>
      </c>
      <c r="P61" s="95">
        <f t="shared" si="1"/>
        <v>2209543.93107781</v>
      </c>
    </row>
    <row r="62" spans="8:16" x14ac:dyDescent="0.25">
      <c r="L62" s="108">
        <v>44</v>
      </c>
      <c r="M62" s="85">
        <v>60633</v>
      </c>
      <c r="N62" s="86" t="s">
        <v>162</v>
      </c>
      <c r="O62" s="108">
        <v>-180000</v>
      </c>
      <c r="P62" s="95">
        <f t="shared" si="1"/>
        <v>2151068.8472870896</v>
      </c>
    </row>
    <row r="63" spans="8:16" x14ac:dyDescent="0.25">
      <c r="L63" s="108">
        <v>45</v>
      </c>
      <c r="M63" s="85">
        <v>60998</v>
      </c>
      <c r="N63" s="86" t="s">
        <v>163</v>
      </c>
      <c r="O63" s="108">
        <v>-180000</v>
      </c>
      <c r="P63" s="95">
        <f t="shared" si="1"/>
        <v>2089377.6338878796</v>
      </c>
    </row>
    <row r="64" spans="8:16" x14ac:dyDescent="0.25">
      <c r="L64" s="108">
        <v>46</v>
      </c>
      <c r="M64" s="85">
        <v>61363</v>
      </c>
      <c r="N64" s="86" t="s">
        <v>164</v>
      </c>
      <c r="O64" s="108">
        <v>-180000</v>
      </c>
      <c r="P64" s="95">
        <f t="shared" si="1"/>
        <v>2024293.4037517128</v>
      </c>
    </row>
    <row r="65" spans="12:16" x14ac:dyDescent="0.25">
      <c r="L65" s="108">
        <v>47</v>
      </c>
      <c r="M65" s="85">
        <v>61729</v>
      </c>
      <c r="N65" s="86" t="s">
        <v>165</v>
      </c>
      <c r="O65" s="108">
        <v>-180000</v>
      </c>
      <c r="P65" s="95">
        <f t="shared" si="1"/>
        <v>1955629.5409580567</v>
      </c>
    </row>
    <row r="66" spans="12:16" x14ac:dyDescent="0.25">
      <c r="L66" s="108">
        <v>48</v>
      </c>
      <c r="M66" s="85">
        <v>62094</v>
      </c>
      <c r="N66" s="86" t="s">
        <v>166</v>
      </c>
      <c r="O66" s="108">
        <v>-180000</v>
      </c>
      <c r="P66" s="95">
        <f t="shared" si="1"/>
        <v>1883189.1657107498</v>
      </c>
    </row>
    <row r="67" spans="12:16" x14ac:dyDescent="0.25">
      <c r="L67" s="108">
        <v>49</v>
      </c>
      <c r="M67" s="85">
        <v>62459</v>
      </c>
      <c r="N67" s="86" t="s">
        <v>167</v>
      </c>
      <c r="O67" s="108">
        <v>-180000</v>
      </c>
      <c r="P67" s="95">
        <f t="shared" si="1"/>
        <v>1806764.5698248409</v>
      </c>
    </row>
    <row r="68" spans="12:16" x14ac:dyDescent="0.25">
      <c r="L68" s="108">
        <v>50</v>
      </c>
      <c r="M68" s="85">
        <v>62824</v>
      </c>
      <c r="N68" s="86" t="s">
        <v>168</v>
      </c>
      <c r="O68" s="108">
        <v>-180000</v>
      </c>
      <c r="P68" s="95">
        <f t="shared" si="1"/>
        <v>1726136.6211652071</v>
      </c>
    </row>
    <row r="69" spans="12:16" x14ac:dyDescent="0.25">
      <c r="L69" s="108">
        <v>51</v>
      </c>
      <c r="M69" s="85">
        <v>63190</v>
      </c>
      <c r="N69" s="86" t="s">
        <v>169</v>
      </c>
      <c r="O69" s="108">
        <v>-180000</v>
      </c>
      <c r="P69" s="95">
        <f t="shared" si="1"/>
        <v>1641074.1353292933</v>
      </c>
    </row>
    <row r="70" spans="12:16" x14ac:dyDescent="0.25">
      <c r="L70" s="108">
        <v>52</v>
      </c>
      <c r="M70" s="85">
        <v>63555</v>
      </c>
      <c r="N70" s="86" t="s">
        <v>170</v>
      </c>
      <c r="O70" s="108">
        <v>-180000</v>
      </c>
      <c r="P70" s="95">
        <f t="shared" si="1"/>
        <v>1551333.2127724043</v>
      </c>
    </row>
    <row r="71" spans="12:16" x14ac:dyDescent="0.25">
      <c r="L71" s="108">
        <v>53</v>
      </c>
      <c r="M71" s="85">
        <v>63920</v>
      </c>
      <c r="N71" s="86" t="s">
        <v>171</v>
      </c>
      <c r="O71" s="108">
        <v>-180000</v>
      </c>
      <c r="P71" s="95">
        <f t="shared" si="1"/>
        <v>1456656.5394748864</v>
      </c>
    </row>
    <row r="72" spans="12:16" x14ac:dyDescent="0.25">
      <c r="L72" s="108">
        <v>54</v>
      </c>
      <c r="M72" s="85">
        <v>64285</v>
      </c>
      <c r="N72" s="86" t="s">
        <v>172</v>
      </c>
      <c r="O72" s="108">
        <v>-180000</v>
      </c>
      <c r="P72" s="95">
        <f t="shared" si="1"/>
        <v>1356772.649146005</v>
      </c>
    </row>
    <row r="73" spans="12:16" x14ac:dyDescent="0.25">
      <c r="L73" s="108">
        <v>55</v>
      </c>
      <c r="M73" s="85">
        <v>64651</v>
      </c>
      <c r="N73" s="86" t="s">
        <v>185</v>
      </c>
      <c r="O73" s="108">
        <v>-180000</v>
      </c>
      <c r="P73" s="95">
        <f t="shared" si="1"/>
        <v>1251395.1448490352</v>
      </c>
    </row>
    <row r="74" spans="12:16" x14ac:dyDescent="0.25">
      <c r="L74" s="108">
        <v>56</v>
      </c>
      <c r="M74" s="85">
        <v>65016</v>
      </c>
      <c r="N74" s="86" t="s">
        <v>186</v>
      </c>
      <c r="O74" s="108">
        <v>-180000</v>
      </c>
      <c r="P74" s="95">
        <f t="shared" si="1"/>
        <v>1140221.877815732</v>
      </c>
    </row>
    <row r="75" spans="12:16" x14ac:dyDescent="0.25">
      <c r="L75" s="108">
        <v>57</v>
      </c>
      <c r="M75" s="85">
        <v>65381</v>
      </c>
      <c r="N75" s="86" t="s">
        <v>187</v>
      </c>
      <c r="O75" s="108">
        <v>-180000</v>
      </c>
      <c r="P75" s="95">
        <f t="shared" si="1"/>
        <v>1022934.0810955972</v>
      </c>
    </row>
    <row r="76" spans="12:16" x14ac:dyDescent="0.25">
      <c r="L76" s="108">
        <v>58</v>
      </c>
      <c r="M76" s="85">
        <v>65746</v>
      </c>
      <c r="N76" s="86" t="s">
        <v>188</v>
      </c>
      <c r="O76" s="108">
        <v>-180000</v>
      </c>
      <c r="P76" s="95">
        <f t="shared" si="1"/>
        <v>899195.45555585506</v>
      </c>
    </row>
    <row r="77" spans="12:16" x14ac:dyDescent="0.25">
      <c r="L77" s="108">
        <v>59</v>
      </c>
      <c r="M77" s="85">
        <v>66112</v>
      </c>
      <c r="N77" s="86" t="s">
        <v>189</v>
      </c>
      <c r="O77" s="108">
        <v>-180000</v>
      </c>
      <c r="P77" s="95">
        <f t="shared" si="1"/>
        <v>768651.20561142708</v>
      </c>
    </row>
    <row r="78" spans="12:16" x14ac:dyDescent="0.25">
      <c r="L78" s="108">
        <v>60</v>
      </c>
      <c r="M78" s="85">
        <v>66477</v>
      </c>
      <c r="N78" s="86" t="s">
        <v>246</v>
      </c>
      <c r="O78" s="108">
        <v>-180000</v>
      </c>
      <c r="P78" s="95">
        <f t="shared" ref="P78:P82" si="2">O78+(P77*(1+$H$16))</f>
        <v>630927.0219200555</v>
      </c>
    </row>
    <row r="79" spans="12:16" x14ac:dyDescent="0.25">
      <c r="L79" s="108">
        <v>61</v>
      </c>
      <c r="M79" s="85">
        <v>66842</v>
      </c>
      <c r="N79" s="86" t="s">
        <v>247</v>
      </c>
      <c r="O79" s="108">
        <v>-180000</v>
      </c>
      <c r="P79" s="95">
        <f t="shared" si="2"/>
        <v>485628.0081256585</v>
      </c>
    </row>
    <row r="80" spans="12:16" x14ac:dyDescent="0.25">
      <c r="L80" s="108">
        <v>62</v>
      </c>
      <c r="M80" s="85">
        <v>67207</v>
      </c>
      <c r="N80" s="86" t="s">
        <v>248</v>
      </c>
      <c r="O80" s="108">
        <v>-180000</v>
      </c>
      <c r="P80" s="95">
        <f t="shared" si="2"/>
        <v>332337.54857256968</v>
      </c>
    </row>
    <row r="81" spans="12:16" x14ac:dyDescent="0.25">
      <c r="L81" s="108">
        <v>63</v>
      </c>
      <c r="M81" s="85">
        <v>66842</v>
      </c>
      <c r="N81" s="86" t="s">
        <v>249</v>
      </c>
      <c r="O81" s="108">
        <v>-180000</v>
      </c>
      <c r="P81" s="95">
        <f t="shared" si="2"/>
        <v>170616.11374406097</v>
      </c>
    </row>
    <row r="82" spans="12:16" x14ac:dyDescent="0.25">
      <c r="L82" s="108">
        <v>64</v>
      </c>
      <c r="M82" s="85">
        <v>67207</v>
      </c>
      <c r="N82" s="86" t="s">
        <v>250</v>
      </c>
      <c r="O82" s="108">
        <v>-180000</v>
      </c>
      <c r="P82" s="95">
        <f t="shared" si="2"/>
        <v>-1.5686964616179466E-8</v>
      </c>
    </row>
    <row r="83" spans="12:16" x14ac:dyDescent="0.25">
      <c r="M83" s="85"/>
      <c r="O83" s="95"/>
      <c r="P83" s="95"/>
    </row>
    <row r="84" spans="12:16" x14ac:dyDescent="0.25">
      <c r="M84" s="85"/>
      <c r="O84" s="95"/>
      <c r="P84" s="95"/>
    </row>
    <row r="85" spans="12:16" x14ac:dyDescent="0.25">
      <c r="M85" s="85"/>
      <c r="O85" s="95"/>
      <c r="P85" s="95"/>
    </row>
  </sheetData>
  <mergeCells count="2">
    <mergeCell ref="B18:K18"/>
    <mergeCell ref="D25:H25"/>
  </mergeCells>
  <phoneticPr fontId="16" type="noConversion"/>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zoomScale="145" zoomScaleNormal="145" workbookViewId="0">
      <selection activeCell="M14" sqref="M14"/>
    </sheetView>
  </sheetViews>
  <sheetFormatPr defaultColWidth="9.140625" defaultRowHeight="15" x14ac:dyDescent="0.25"/>
  <cols>
    <col min="1" max="1" width="4.28515625" style="108" customWidth="1"/>
    <col min="2" max="5" width="9.140625" style="108"/>
    <col min="6" max="6" width="13.28515625" style="108" bestFit="1" customWidth="1"/>
    <col min="7" max="7" width="12" style="108" customWidth="1"/>
    <col min="8" max="8" width="12.140625" style="108" customWidth="1"/>
    <col min="9" max="9" width="14.140625" style="108" customWidth="1"/>
    <col min="10" max="16384" width="9.140625" style="108"/>
  </cols>
  <sheetData>
    <row r="2" spans="2:11" x14ac:dyDescent="0.25">
      <c r="B2" s="100" t="s">
        <v>202</v>
      </c>
    </row>
    <row r="4" spans="2:11" x14ac:dyDescent="0.25">
      <c r="B4" s="100" t="s">
        <v>59</v>
      </c>
    </row>
    <row r="5" spans="2:11" s="100" customFormat="1" x14ac:dyDescent="0.25">
      <c r="B5" s="7" t="s">
        <v>8</v>
      </c>
      <c r="F5" s="110">
        <v>340000</v>
      </c>
    </row>
    <row r="6" spans="2:11" s="100" customFormat="1" x14ac:dyDescent="0.25">
      <c r="B6" s="7" t="s">
        <v>203</v>
      </c>
      <c r="F6" s="111">
        <v>4</v>
      </c>
    </row>
    <row r="7" spans="2:11" s="100" customFormat="1" x14ac:dyDescent="0.25">
      <c r="B7" s="7" t="s">
        <v>9</v>
      </c>
      <c r="F7" s="112">
        <v>6.25E-2</v>
      </c>
    </row>
    <row r="8" spans="2:11" s="100" customFormat="1" x14ac:dyDescent="0.25">
      <c r="B8" s="7"/>
      <c r="F8" s="113"/>
    </row>
    <row r="9" spans="2:11" s="100" customFormat="1" x14ac:dyDescent="0.25">
      <c r="B9" s="7" t="s">
        <v>204</v>
      </c>
      <c r="F9" s="114">
        <v>42</v>
      </c>
    </row>
    <row r="10" spans="2:11" s="100" customFormat="1" x14ac:dyDescent="0.25">
      <c r="B10" s="7"/>
    </row>
    <row r="11" spans="2:11" x14ac:dyDescent="0.25">
      <c r="B11" s="115" t="s">
        <v>205</v>
      </c>
    </row>
    <row r="12" spans="2:11" x14ac:dyDescent="0.25">
      <c r="B12" s="115" t="s">
        <v>206</v>
      </c>
    </row>
    <row r="13" spans="2:11" x14ac:dyDescent="0.25">
      <c r="B13" s="115" t="s">
        <v>207</v>
      </c>
    </row>
    <row r="14" spans="2:11" x14ac:dyDescent="0.25">
      <c r="B14" s="115" t="s">
        <v>208</v>
      </c>
    </row>
    <row r="15" spans="2:11" ht="15.75" thickBot="1" x14ac:dyDescent="0.3"/>
    <row r="16" spans="2:11" ht="15.75" thickBot="1" x14ac:dyDescent="0.3">
      <c r="B16" s="141" t="s">
        <v>209</v>
      </c>
      <c r="C16" s="141"/>
      <c r="D16" s="141"/>
      <c r="E16" s="141"/>
      <c r="F16" s="141"/>
      <c r="G16" s="141"/>
      <c r="H16" s="141"/>
      <c r="I16" s="141"/>
      <c r="J16" s="141"/>
      <c r="K16" s="141"/>
    </row>
    <row r="18" spans="2:11" x14ac:dyDescent="0.25">
      <c r="B18" s="116" t="s">
        <v>210</v>
      </c>
    </row>
    <row r="19" spans="2:11" ht="15.75" thickBot="1" x14ac:dyDescent="0.3"/>
    <row r="20" spans="2:11" ht="15.75" thickBot="1" x14ac:dyDescent="0.3">
      <c r="C20" s="100" t="s">
        <v>211</v>
      </c>
      <c r="I20" s="48">
        <f>PMT(F7/12,F6*12,-F5)</f>
        <v>8023.9387545886784</v>
      </c>
    </row>
    <row r="21" spans="2:11" ht="15.75" thickBot="1" x14ac:dyDescent="0.3">
      <c r="C21" s="100" t="s">
        <v>212</v>
      </c>
      <c r="I21" s="48">
        <f>I28</f>
        <v>286.53886402197293</v>
      </c>
    </row>
    <row r="22" spans="2:11" ht="15.75" thickBot="1" x14ac:dyDescent="0.3">
      <c r="C22" s="100" t="s">
        <v>213</v>
      </c>
      <c r="I22" s="48">
        <f t="shared" ref="I22:I23" si="0">I29</f>
        <v>7737.3998905667058</v>
      </c>
    </row>
    <row r="23" spans="2:11" ht="15.75" thickBot="1" x14ac:dyDescent="0.3">
      <c r="C23" s="100" t="s">
        <v>214</v>
      </c>
      <c r="I23" s="48">
        <f t="shared" si="0"/>
        <v>47278.062001652099</v>
      </c>
    </row>
    <row r="24" spans="2:11" ht="15.75" thickBot="1" x14ac:dyDescent="0.3"/>
    <row r="25" spans="2:11" ht="15.75" thickBot="1" x14ac:dyDescent="0.3">
      <c r="B25" s="141" t="s">
        <v>101</v>
      </c>
      <c r="C25" s="141"/>
      <c r="D25" s="141"/>
      <c r="E25" s="141"/>
      <c r="F25" s="141"/>
      <c r="G25" s="141"/>
      <c r="H25" s="141"/>
      <c r="I25" s="141"/>
      <c r="J25" s="141"/>
      <c r="K25" s="141"/>
    </row>
    <row r="27" spans="2:11" x14ac:dyDescent="0.25">
      <c r="C27" s="108" t="s">
        <v>215</v>
      </c>
      <c r="I27" s="95">
        <f>PV(F7/12,F6*12-F9+1,-I20)</f>
        <v>55015.461892218802</v>
      </c>
    </row>
    <row r="28" spans="2:11" x14ac:dyDescent="0.25">
      <c r="C28" s="108" t="s">
        <v>216</v>
      </c>
      <c r="I28" s="95">
        <f>I27*F7/12</f>
        <v>286.53886402197293</v>
      </c>
    </row>
    <row r="29" spans="2:11" x14ac:dyDescent="0.25">
      <c r="C29" s="108" t="s">
        <v>217</v>
      </c>
      <c r="I29" s="95">
        <f>I20-I28</f>
        <v>7737.3998905667058</v>
      </c>
    </row>
    <row r="30" spans="2:11" x14ac:dyDescent="0.25">
      <c r="C30" s="108" t="s">
        <v>218</v>
      </c>
      <c r="I30" s="95">
        <f>I27-I29</f>
        <v>47278.062001652099</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31"/>
  <sheetViews>
    <sheetView topLeftCell="A106" zoomScale="115" zoomScaleNormal="115" workbookViewId="0">
      <selection activeCell="L123" sqref="L123"/>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95</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8" t="s">
        <v>2</v>
      </c>
    </row>
    <row r="12" spans="2:8" ht="14.65" customHeight="1" x14ac:dyDescent="0.25">
      <c r="C12" s="108" t="s">
        <v>88</v>
      </c>
    </row>
    <row r="13" spans="2:8" ht="14.65" customHeight="1" x14ac:dyDescent="0.25">
      <c r="C13" s="108" t="s">
        <v>276</v>
      </c>
    </row>
    <row r="14" spans="2:8" ht="14.65" customHeight="1" x14ac:dyDescent="0.25">
      <c r="C14" s="108" t="s">
        <v>96</v>
      </c>
    </row>
    <row r="15" spans="2:8" ht="15.75" thickBot="1" x14ac:dyDescent="0.3"/>
    <row r="16" spans="2:8" ht="15.75" thickBot="1" x14ac:dyDescent="0.3">
      <c r="D16" s="60" t="s">
        <v>87</v>
      </c>
      <c r="E16" s="61" t="s">
        <v>4</v>
      </c>
      <c r="F16" s="58"/>
    </row>
    <row r="17" spans="3:10" x14ac:dyDescent="0.25">
      <c r="D17" s="62">
        <v>1</v>
      </c>
      <c r="E17" s="136">
        <v>0</v>
      </c>
      <c r="F17" s="108"/>
      <c r="G17" s="138"/>
    </row>
    <row r="18" spans="3:10" x14ac:dyDescent="0.25">
      <c r="D18" s="63">
        <v>2</v>
      </c>
      <c r="E18" s="136">
        <v>0</v>
      </c>
      <c r="F18" s="108"/>
      <c r="G18" s="138"/>
    </row>
    <row r="19" spans="3:10" x14ac:dyDescent="0.25">
      <c r="D19" s="63">
        <v>3</v>
      </c>
      <c r="E19" s="136">
        <v>0</v>
      </c>
      <c r="F19" s="108"/>
      <c r="G19" s="138"/>
      <c r="H19" s="118"/>
    </row>
    <row r="20" spans="3:10" x14ac:dyDescent="0.25">
      <c r="D20" s="63">
        <v>4</v>
      </c>
      <c r="E20" s="136">
        <v>0</v>
      </c>
      <c r="F20" s="108"/>
      <c r="G20" s="138"/>
      <c r="H20" s="118"/>
    </row>
    <row r="21" spans="3:10" x14ac:dyDescent="0.25">
      <c r="D21" s="63">
        <v>5</v>
      </c>
      <c r="E21" s="137">
        <v>6250</v>
      </c>
      <c r="F21" s="108" t="s">
        <v>5</v>
      </c>
      <c r="G21" s="138"/>
      <c r="H21" s="118"/>
      <c r="J21" s="118"/>
    </row>
    <row r="22" spans="3:10" x14ac:dyDescent="0.25">
      <c r="D22" s="63">
        <v>6</v>
      </c>
      <c r="E22" s="136">
        <f t="shared" ref="E22:E25" si="0">E21</f>
        <v>6250</v>
      </c>
      <c r="F22" s="108"/>
      <c r="G22" s="138"/>
      <c r="H22" s="118"/>
      <c r="J22" s="118"/>
    </row>
    <row r="23" spans="3:10" x14ac:dyDescent="0.25">
      <c r="D23" s="63">
        <v>7</v>
      </c>
      <c r="E23" s="136">
        <f t="shared" si="0"/>
        <v>6250</v>
      </c>
      <c r="F23" s="108"/>
      <c r="G23" s="138"/>
      <c r="H23" s="118"/>
      <c r="J23" s="118"/>
    </row>
    <row r="24" spans="3:10" x14ac:dyDescent="0.25">
      <c r="D24" s="63">
        <v>8</v>
      </c>
      <c r="E24" s="136">
        <f t="shared" si="0"/>
        <v>6250</v>
      </c>
      <c r="F24" s="108"/>
      <c r="G24" s="138"/>
      <c r="H24" s="118"/>
      <c r="J24" s="118"/>
    </row>
    <row r="25" spans="3:10" ht="15.75" thickBot="1" x14ac:dyDescent="0.3">
      <c r="D25" s="64">
        <v>9</v>
      </c>
      <c r="E25" s="136">
        <f t="shared" si="0"/>
        <v>6250</v>
      </c>
      <c r="F25" s="108"/>
      <c r="G25" s="138"/>
      <c r="H25" s="118"/>
      <c r="J25" s="118"/>
    </row>
    <row r="26" spans="3:10" s="57" customFormat="1" ht="15.75" thickBot="1" x14ac:dyDescent="0.3">
      <c r="D26" s="59">
        <v>10</v>
      </c>
      <c r="E26" s="91">
        <v>4250</v>
      </c>
      <c r="F26" s="108" t="s">
        <v>5</v>
      </c>
      <c r="G26" s="138"/>
      <c r="H26" s="118"/>
      <c r="J26" s="118"/>
    </row>
    <row r="27" spans="3:10" x14ac:dyDescent="0.25">
      <c r="J27" s="118"/>
    </row>
    <row r="28" spans="3:10" x14ac:dyDescent="0.25">
      <c r="C28" t="s">
        <v>89</v>
      </c>
      <c r="E28" s="3">
        <v>7.4999999999999997E-2</v>
      </c>
      <c r="I28" s="4"/>
    </row>
    <row r="30" spans="3:10" x14ac:dyDescent="0.25">
      <c r="C30" t="s">
        <v>90</v>
      </c>
    </row>
    <row r="31" spans="3:10" x14ac:dyDescent="0.25">
      <c r="C31" t="s">
        <v>91</v>
      </c>
    </row>
    <row r="32" spans="3:10" x14ac:dyDescent="0.25">
      <c r="C32" s="65" t="s">
        <v>219</v>
      </c>
    </row>
    <row r="33" spans="2:8" ht="15.75" thickBot="1" x14ac:dyDescent="0.3"/>
    <row r="34" spans="2:8" ht="15.75" thickBot="1" x14ac:dyDescent="0.3">
      <c r="C34" t="s">
        <v>92</v>
      </c>
      <c r="D34" s="142">
        <f>PV(E28,4,0,PV(E28,6,E21,E26-E21))</f>
        <v>20996.828932972945</v>
      </c>
      <c r="E34" s="143"/>
    </row>
    <row r="36" spans="2:8" x14ac:dyDescent="0.25">
      <c r="B36" s="69" t="s">
        <v>1</v>
      </c>
      <c r="C36" s="66" t="s">
        <v>106</v>
      </c>
      <c r="D36" s="66"/>
      <c r="E36" s="66"/>
      <c r="F36" s="66"/>
      <c r="G36" s="66"/>
      <c r="H36" s="66"/>
    </row>
    <row r="37" spans="2:8" s="65" customFormat="1" x14ac:dyDescent="0.25">
      <c r="B37" s="66"/>
      <c r="C37" s="71" t="s">
        <v>107</v>
      </c>
      <c r="D37" s="66"/>
      <c r="E37" s="66"/>
      <c r="F37" s="66"/>
      <c r="G37" s="66"/>
      <c r="H37" s="66"/>
    </row>
    <row r="38" spans="2:8" s="65" customFormat="1" x14ac:dyDescent="0.25">
      <c r="B38" s="66"/>
      <c r="C38" s="71" t="s">
        <v>229</v>
      </c>
      <c r="D38" s="66"/>
      <c r="E38" s="66"/>
      <c r="F38" s="66"/>
      <c r="G38" s="66"/>
      <c r="H38" s="66"/>
    </row>
    <row r="39" spans="2:8" s="65" customFormat="1" ht="15.75" thickBot="1" x14ac:dyDescent="0.3">
      <c r="B39" s="66"/>
      <c r="C39" s="66"/>
      <c r="D39" s="66"/>
      <c r="E39" s="66"/>
      <c r="F39" s="66"/>
      <c r="G39" s="66"/>
      <c r="H39" s="66"/>
    </row>
    <row r="40" spans="2:8" s="65" customFormat="1" ht="15.75" thickBot="1" x14ac:dyDescent="0.3">
      <c r="B40" s="66"/>
      <c r="C40" s="72" t="s">
        <v>108</v>
      </c>
      <c r="D40" s="66"/>
      <c r="E40" s="66"/>
      <c r="F40" s="73">
        <v>9.7500000000000003E-2</v>
      </c>
      <c r="G40" s="66"/>
      <c r="H40" s="66"/>
    </row>
    <row r="41" spans="2:8" s="65" customFormat="1" ht="15.75" thickBot="1" x14ac:dyDescent="0.3">
      <c r="B41" s="66"/>
      <c r="C41" s="66"/>
      <c r="D41" s="66"/>
      <c r="E41" s="67"/>
      <c r="F41" s="67"/>
      <c r="G41" s="66"/>
      <c r="H41" s="66"/>
    </row>
    <row r="42" spans="2:8" s="65" customFormat="1" ht="45.75" thickBot="1" x14ac:dyDescent="0.3">
      <c r="B42" s="66"/>
      <c r="C42" s="66"/>
      <c r="D42" s="66"/>
      <c r="E42" s="75" t="s">
        <v>109</v>
      </c>
      <c r="F42" s="75" t="s">
        <v>110</v>
      </c>
      <c r="G42" s="66"/>
      <c r="H42" s="66"/>
    </row>
    <row r="43" spans="2:8" s="65" customFormat="1" x14ac:dyDescent="0.25">
      <c r="B43" s="66"/>
      <c r="C43" s="66"/>
      <c r="D43" s="66"/>
      <c r="E43" s="68" t="s">
        <v>76</v>
      </c>
      <c r="F43" s="74">
        <f>FV(F40/4,4,0,-1)-1</f>
        <v>0.10112312546402014</v>
      </c>
      <c r="G43" s="66"/>
      <c r="H43" s="66"/>
    </row>
    <row r="44" spans="2:8" s="65" customFormat="1" x14ac:dyDescent="0.25">
      <c r="B44" s="66"/>
      <c r="C44" s="66"/>
      <c r="D44" s="66"/>
      <c r="E44" s="68" t="s">
        <v>77</v>
      </c>
      <c r="F44" s="74">
        <f>FV(F40/12,12,0,-1)-1</f>
        <v>0.10197721973257501</v>
      </c>
      <c r="G44" s="66"/>
      <c r="H44" s="66"/>
    </row>
    <row r="45" spans="2:8" s="65" customFormat="1" ht="15.75" thickBot="1" x14ac:dyDescent="0.3">
      <c r="B45" s="66"/>
      <c r="C45" s="66"/>
      <c r="D45" s="66"/>
      <c r="E45" s="68" t="s">
        <v>111</v>
      </c>
      <c r="F45" s="74">
        <f>FV(F40/365,365,0,-1)-1</f>
        <v>0.10239708832406302</v>
      </c>
      <c r="G45" s="66"/>
      <c r="H45" s="66"/>
    </row>
    <row r="46" spans="2:8" s="65" customFormat="1" ht="15.75" thickBot="1" x14ac:dyDescent="0.3">
      <c r="B46" s="66"/>
      <c r="C46" s="66"/>
      <c r="D46" s="66"/>
      <c r="E46" s="76" t="s">
        <v>112</v>
      </c>
      <c r="F46" s="70">
        <f>EXP(F40)-1</f>
        <v>0.10241144156332616</v>
      </c>
      <c r="G46" s="66"/>
      <c r="H46" s="66"/>
    </row>
    <row r="47" spans="2:8" s="65" customFormat="1" x14ac:dyDescent="0.25"/>
    <row r="48" spans="2:8" s="65" customFormat="1" x14ac:dyDescent="0.25"/>
    <row r="49" spans="2:7" x14ac:dyDescent="0.25">
      <c r="B49" s="55" t="s">
        <v>6</v>
      </c>
      <c r="C49" t="s">
        <v>73</v>
      </c>
    </row>
    <row r="50" spans="2:7" s="89" customFormat="1" ht="15.75" thickBot="1" x14ac:dyDescent="0.3">
      <c r="B50" s="90"/>
    </row>
    <row r="51" spans="2:7" s="108" customFormat="1" ht="15.75" thickBot="1" x14ac:dyDescent="0.3">
      <c r="B51" s="90"/>
      <c r="D51" s="60" t="s">
        <v>87</v>
      </c>
      <c r="E51" s="61" t="s">
        <v>4</v>
      </c>
    </row>
    <row r="52" spans="2:7" s="108" customFormat="1" x14ac:dyDescent="0.25">
      <c r="B52" s="90"/>
      <c r="D52" s="119">
        <v>0</v>
      </c>
      <c r="E52" s="120">
        <v>3000</v>
      </c>
      <c r="G52" s="123"/>
    </row>
    <row r="53" spans="2:7" s="108" customFormat="1" x14ac:dyDescent="0.25">
      <c r="B53" s="90"/>
      <c r="D53" s="63">
        <v>1</v>
      </c>
      <c r="E53" s="92">
        <v>1500</v>
      </c>
      <c r="G53" s="123"/>
    </row>
    <row r="54" spans="2:7" s="108" customFormat="1" x14ac:dyDescent="0.25">
      <c r="B54" s="90"/>
      <c r="D54" s="63">
        <v>2</v>
      </c>
      <c r="E54" s="92">
        <v>1500</v>
      </c>
      <c r="G54" s="123"/>
    </row>
    <row r="55" spans="2:7" s="108" customFormat="1" x14ac:dyDescent="0.25">
      <c r="B55" s="90"/>
      <c r="D55" s="63">
        <v>3</v>
      </c>
      <c r="E55" s="122" t="s">
        <v>230</v>
      </c>
      <c r="G55" s="123"/>
    </row>
    <row r="56" spans="2:7" s="108" customFormat="1" x14ac:dyDescent="0.25">
      <c r="B56" s="90"/>
      <c r="D56" s="63">
        <v>4</v>
      </c>
      <c r="E56" s="122" t="s">
        <v>230</v>
      </c>
      <c r="G56" s="123"/>
    </row>
    <row r="57" spans="2:7" s="108" customFormat="1" x14ac:dyDescent="0.25">
      <c r="B57" s="90"/>
      <c r="D57" s="63">
        <v>5</v>
      </c>
      <c r="E57" s="122" t="s">
        <v>230</v>
      </c>
      <c r="G57" s="123"/>
    </row>
    <row r="58" spans="2:7" s="108" customFormat="1" x14ac:dyDescent="0.25">
      <c r="B58" s="90"/>
      <c r="D58" s="63">
        <v>6</v>
      </c>
      <c r="E58" s="122" t="s">
        <v>230</v>
      </c>
      <c r="G58" s="123"/>
    </row>
    <row r="59" spans="2:7" s="108" customFormat="1" x14ac:dyDescent="0.25">
      <c r="B59" s="90"/>
      <c r="D59" s="63">
        <v>7</v>
      </c>
      <c r="E59" s="122">
        <v>2500</v>
      </c>
      <c r="G59" s="123"/>
    </row>
    <row r="60" spans="2:7" s="108" customFormat="1" x14ac:dyDescent="0.25">
      <c r="B60" s="90"/>
      <c r="D60" s="63">
        <v>8</v>
      </c>
      <c r="E60" s="122">
        <v>2500</v>
      </c>
      <c r="G60" s="123"/>
    </row>
    <row r="61" spans="2:7" s="108" customFormat="1" x14ac:dyDescent="0.25">
      <c r="B61" s="90"/>
      <c r="D61" s="63">
        <v>9</v>
      </c>
      <c r="E61" s="122">
        <v>2500</v>
      </c>
      <c r="G61" s="123"/>
    </row>
    <row r="62" spans="2:7" s="108" customFormat="1" ht="15.75" thickBot="1" x14ac:dyDescent="0.3">
      <c r="B62" s="90"/>
      <c r="D62" s="59">
        <v>10</v>
      </c>
      <c r="E62" s="121">
        <v>1500</v>
      </c>
      <c r="G62" s="123"/>
    </row>
    <row r="63" spans="2:7" s="108" customFormat="1" x14ac:dyDescent="0.25">
      <c r="B63" s="90"/>
      <c r="G63" s="123"/>
    </row>
    <row r="64" spans="2:7" x14ac:dyDescent="0.25">
      <c r="C64" s="93" t="s">
        <v>266</v>
      </c>
    </row>
    <row r="65" spans="2:15" ht="14.65" customHeight="1" x14ac:dyDescent="0.25">
      <c r="C65" s="104" t="s">
        <v>268</v>
      </c>
    </row>
    <row r="66" spans="2:15" x14ac:dyDescent="0.25">
      <c r="C66" s="93" t="s">
        <v>74</v>
      </c>
      <c r="L66" s="4"/>
    </row>
    <row r="67" spans="2:15" x14ac:dyDescent="0.25">
      <c r="C67" s="93" t="s">
        <v>241</v>
      </c>
    </row>
    <row r="68" spans="2:15" s="108" customFormat="1" x14ac:dyDescent="0.25">
      <c r="C68" s="108" t="s">
        <v>242</v>
      </c>
    </row>
    <row r="69" spans="2:15" s="108" customFormat="1" x14ac:dyDescent="0.25">
      <c r="C69" s="108" t="s">
        <v>243</v>
      </c>
    </row>
    <row r="70" spans="2:15" s="77" customFormat="1" x14ac:dyDescent="0.25">
      <c r="O70" s="95"/>
    </row>
    <row r="71" spans="2:15" x14ac:dyDescent="0.25">
      <c r="J71" s="93"/>
      <c r="K71" s="93"/>
      <c r="L71" s="94"/>
      <c r="N71" s="77"/>
      <c r="O71" s="95"/>
    </row>
    <row r="72" spans="2:15" x14ac:dyDescent="0.25">
      <c r="C72" s="93" t="s">
        <v>240</v>
      </c>
      <c r="D72" s="93"/>
      <c r="E72" s="94">
        <f>3000+PV(0.08,2,-1500)+PV(0.08,6,0,PV(0.08,4,2500,-1000))</f>
        <v>10429.707968707517</v>
      </c>
      <c r="J72" s="93"/>
      <c r="K72" s="93"/>
      <c r="L72" s="94"/>
      <c r="O72" s="108"/>
    </row>
    <row r="73" spans="2:15" x14ac:dyDescent="0.25">
      <c r="C73" s="93" t="s">
        <v>93</v>
      </c>
      <c r="D73" s="93"/>
      <c r="E73" s="94">
        <f>18000-E72</f>
        <v>7570.2920312924834</v>
      </c>
      <c r="J73" s="93"/>
      <c r="K73" s="93"/>
      <c r="L73" s="94"/>
      <c r="O73" s="108"/>
    </row>
    <row r="74" spans="2:15" x14ac:dyDescent="0.25">
      <c r="C74" s="93" t="s">
        <v>267</v>
      </c>
      <c r="D74" s="93"/>
      <c r="E74" s="94">
        <f>FV(0.08,2,0,-E73)</f>
        <v>8829.988625299553</v>
      </c>
      <c r="J74" s="93"/>
      <c r="K74" s="93"/>
      <c r="L74" s="94"/>
      <c r="O74" s="108"/>
    </row>
    <row r="75" spans="2:15" x14ac:dyDescent="0.25">
      <c r="C75" s="93" t="s">
        <v>94</v>
      </c>
      <c r="D75" s="93"/>
      <c r="E75" s="94">
        <f>PMT(0.08,4,-E74)</f>
        <v>2665.9572690704581</v>
      </c>
      <c r="J75" s="93"/>
      <c r="K75" s="93"/>
      <c r="L75" s="94"/>
      <c r="O75" s="108"/>
    </row>
    <row r="76" spans="2:15" x14ac:dyDescent="0.25">
      <c r="J76" s="93"/>
      <c r="K76" s="93"/>
      <c r="L76" s="94"/>
    </row>
    <row r="77" spans="2:15" x14ac:dyDescent="0.25">
      <c r="H77" s="93"/>
      <c r="J77" s="93"/>
      <c r="K77" s="93"/>
      <c r="L77" s="94"/>
    </row>
    <row r="78" spans="2:15" x14ac:dyDescent="0.25">
      <c r="F78" s="40"/>
      <c r="O78" s="95"/>
    </row>
    <row r="79" spans="2:15" x14ac:dyDescent="0.25">
      <c r="B79" s="55" t="s">
        <v>7</v>
      </c>
      <c r="C79" s="108" t="s">
        <v>20</v>
      </c>
    </row>
    <row r="80" spans="2:15" ht="17.25" x14ac:dyDescent="0.4">
      <c r="C80" s="108" t="s">
        <v>277</v>
      </c>
      <c r="I80" s="18" t="s">
        <v>3</v>
      </c>
      <c r="J80" s="18" t="s">
        <v>17</v>
      </c>
      <c r="K80" s="18" t="s">
        <v>18</v>
      </c>
      <c r="L80" s="18" t="s">
        <v>28</v>
      </c>
      <c r="M80" s="18" t="s">
        <v>19</v>
      </c>
      <c r="N80" s="18"/>
    </row>
    <row r="81" spans="2:13" x14ac:dyDescent="0.25">
      <c r="C81" s="108" t="s">
        <v>231</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6</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270</v>
      </c>
      <c r="E85" s="20">
        <f>VLOOKUP(E83,I81:M90,4)</f>
        <v>450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0" t="s">
        <v>115</v>
      </c>
      <c r="C93" s="108" t="s">
        <v>190</v>
      </c>
      <c r="D93" s="108"/>
      <c r="E93" s="108"/>
      <c r="F93" s="108"/>
      <c r="G93" s="108"/>
      <c r="H93" s="108"/>
      <c r="I93" s="108"/>
    </row>
    <row r="94" spans="2:13" x14ac:dyDescent="0.25">
      <c r="B94" s="108"/>
      <c r="C94" s="108" t="s">
        <v>285</v>
      </c>
      <c r="D94" s="108"/>
      <c r="E94" s="108"/>
      <c r="F94" s="108"/>
      <c r="G94" s="108"/>
      <c r="H94" s="108"/>
      <c r="I94" s="108"/>
    </row>
    <row r="95" spans="2:13" ht="15.75" thickBot="1" x14ac:dyDescent="0.3">
      <c r="B95" s="108"/>
      <c r="C95" s="108"/>
      <c r="D95" s="108"/>
      <c r="E95" s="108"/>
      <c r="F95" s="108"/>
      <c r="G95" s="108"/>
      <c r="H95" s="108"/>
      <c r="I95" s="108"/>
    </row>
    <row r="96" spans="2:13" ht="15.75" thickBot="1" x14ac:dyDescent="0.3">
      <c r="B96" s="108"/>
      <c r="C96" s="127" t="s">
        <v>3</v>
      </c>
      <c r="D96" s="128" t="s">
        <v>17</v>
      </c>
      <c r="E96" s="108"/>
      <c r="F96" s="129"/>
      <c r="G96" s="108"/>
      <c r="H96" s="108"/>
      <c r="I96" s="108"/>
    </row>
    <row r="97" spans="2:9" x14ac:dyDescent="0.25">
      <c r="B97" s="108"/>
      <c r="C97" s="78">
        <v>2012</v>
      </c>
      <c r="D97" s="82">
        <v>946000</v>
      </c>
      <c r="E97" s="108"/>
      <c r="F97" s="108"/>
      <c r="G97" s="108"/>
      <c r="H97" s="108"/>
      <c r="I97" s="108"/>
    </row>
    <row r="98" spans="2:9" x14ac:dyDescent="0.25">
      <c r="B98" s="108"/>
      <c r="C98" s="78">
        <v>2013</v>
      </c>
      <c r="D98" s="82">
        <v>1055600</v>
      </c>
      <c r="E98" s="108"/>
      <c r="F98" s="108"/>
      <c r="G98" s="108"/>
      <c r="H98" s="108"/>
      <c r="I98" s="108"/>
    </row>
    <row r="99" spans="2:9" x14ac:dyDescent="0.25">
      <c r="B99" s="108"/>
      <c r="C99" s="78">
        <v>2014</v>
      </c>
      <c r="D99" s="82">
        <v>1321800</v>
      </c>
      <c r="E99" s="108"/>
      <c r="F99" s="108"/>
      <c r="G99" s="108"/>
      <c r="H99" s="108"/>
      <c r="I99" s="108"/>
    </row>
    <row r="100" spans="2:9" x14ac:dyDescent="0.25">
      <c r="B100" s="108"/>
      <c r="C100" s="78">
        <v>2015</v>
      </c>
      <c r="D100" s="130">
        <v>1216500</v>
      </c>
      <c r="E100" s="108"/>
      <c r="F100" s="108"/>
      <c r="G100" s="108"/>
      <c r="H100" s="108"/>
      <c r="I100" s="108"/>
    </row>
    <row r="101" spans="2:9" x14ac:dyDescent="0.25">
      <c r="B101" s="108"/>
      <c r="C101" s="78">
        <v>2016</v>
      </c>
      <c r="D101" s="130">
        <v>1429500</v>
      </c>
      <c r="E101" s="108"/>
      <c r="F101" s="108"/>
      <c r="G101" s="108"/>
      <c r="H101" s="108"/>
      <c r="I101" s="108"/>
    </row>
    <row r="102" spans="2:9" x14ac:dyDescent="0.25">
      <c r="B102" s="108"/>
      <c r="C102" s="78">
        <v>2017</v>
      </c>
      <c r="D102" s="130">
        <v>1562540</v>
      </c>
      <c r="E102" s="108"/>
      <c r="F102" s="108"/>
      <c r="G102" s="108"/>
      <c r="H102" s="108"/>
      <c r="I102" s="108"/>
    </row>
    <row r="103" spans="2:9" s="108" customFormat="1" x14ac:dyDescent="0.25">
      <c r="C103" s="78">
        <v>2018</v>
      </c>
      <c r="D103" s="130">
        <v>1386540</v>
      </c>
    </row>
    <row r="104" spans="2:9" s="108" customFormat="1" x14ac:dyDescent="0.25">
      <c r="C104" s="78">
        <v>2019</v>
      </c>
      <c r="D104" s="130">
        <v>1486550</v>
      </c>
    </row>
    <row r="105" spans="2:9" s="108" customFormat="1" x14ac:dyDescent="0.25">
      <c r="C105" s="78">
        <v>2020</v>
      </c>
      <c r="D105" s="130">
        <v>1362500</v>
      </c>
    </row>
    <row r="106" spans="2:9" s="108" customFormat="1" x14ac:dyDescent="0.25">
      <c r="C106" s="78">
        <v>2021</v>
      </c>
      <c r="D106" s="130">
        <v>1598650</v>
      </c>
    </row>
    <row r="107" spans="2:9" ht="15.75" thickBot="1" x14ac:dyDescent="0.3">
      <c r="B107" s="108"/>
      <c r="C107" s="79">
        <v>2022</v>
      </c>
      <c r="D107" s="80">
        <f>TREND(D97:D106,C97:C106,C107)</f>
        <v>1652920</v>
      </c>
      <c r="E107" s="108"/>
      <c r="F107" s="108"/>
      <c r="G107" s="108"/>
      <c r="H107" s="108"/>
      <c r="I107" s="108"/>
    </row>
    <row r="108" spans="2:9" x14ac:dyDescent="0.25">
      <c r="B108" s="108"/>
      <c r="C108" s="108"/>
      <c r="D108" s="108"/>
      <c r="E108" s="108"/>
      <c r="F108" s="108"/>
      <c r="G108" s="108"/>
      <c r="H108" s="108"/>
      <c r="I108" s="108"/>
    </row>
    <row r="109" spans="2:9" x14ac:dyDescent="0.25">
      <c r="B109" s="90" t="s">
        <v>116</v>
      </c>
      <c r="C109" s="108" t="s">
        <v>244</v>
      </c>
      <c r="D109" s="108"/>
      <c r="E109" s="108"/>
      <c r="F109" s="108"/>
      <c r="G109" s="108"/>
      <c r="H109" s="108"/>
      <c r="I109" s="108"/>
    </row>
    <row r="110" spans="2:9" x14ac:dyDescent="0.25">
      <c r="B110" s="108"/>
      <c r="C110" s="108" t="s">
        <v>286</v>
      </c>
      <c r="D110" s="108"/>
      <c r="E110" s="108"/>
      <c r="F110" s="108"/>
      <c r="G110" s="108"/>
      <c r="H110" s="108"/>
      <c r="I110" s="108"/>
    </row>
    <row r="111" spans="2:9" x14ac:dyDescent="0.25">
      <c r="B111" s="108"/>
      <c r="C111" s="108" t="s">
        <v>287</v>
      </c>
      <c r="D111" s="108"/>
      <c r="E111" s="108"/>
      <c r="F111" s="108"/>
      <c r="G111" s="108"/>
      <c r="H111" s="108"/>
      <c r="I111" s="108"/>
    </row>
    <row r="112" spans="2:9" x14ac:dyDescent="0.25">
      <c r="B112" s="108"/>
      <c r="C112" s="108" t="s">
        <v>288</v>
      </c>
      <c r="D112" s="108"/>
      <c r="E112" s="108"/>
      <c r="F112" s="108"/>
      <c r="G112" s="108"/>
      <c r="H112" s="108"/>
      <c r="I112" s="108"/>
    </row>
    <row r="113" spans="2:9" x14ac:dyDescent="0.25">
      <c r="B113" s="108"/>
      <c r="C113" s="108"/>
      <c r="D113" s="108"/>
      <c r="E113" s="108"/>
      <c r="F113" s="108"/>
      <c r="G113" s="108"/>
      <c r="H113" s="108"/>
      <c r="I113" s="108"/>
    </row>
    <row r="114" spans="2:9" x14ac:dyDescent="0.25">
      <c r="B114" s="108"/>
      <c r="C114" s="108"/>
      <c r="D114" s="108"/>
      <c r="E114" s="108"/>
      <c r="F114" s="108"/>
      <c r="G114" s="108"/>
      <c r="H114" s="108"/>
      <c r="I114" s="108"/>
    </row>
    <row r="115" spans="2:9" x14ac:dyDescent="0.25">
      <c r="B115" s="108"/>
      <c r="C115" s="108"/>
      <c r="D115" s="108"/>
      <c r="E115" s="108"/>
      <c r="F115" s="108"/>
      <c r="G115" s="108"/>
      <c r="H115" s="108"/>
      <c r="I115" s="108"/>
    </row>
    <row r="116" spans="2:9" x14ac:dyDescent="0.25">
      <c r="B116" s="108"/>
      <c r="C116" s="108"/>
      <c r="D116" s="108"/>
      <c r="E116" s="108"/>
      <c r="F116" s="108"/>
      <c r="G116" s="108"/>
      <c r="H116" s="108"/>
      <c r="I116" s="108"/>
    </row>
    <row r="117" spans="2:9" x14ac:dyDescent="0.25">
      <c r="B117" s="108"/>
      <c r="C117" s="108"/>
      <c r="D117" s="108"/>
      <c r="E117" s="108"/>
      <c r="F117" s="108"/>
      <c r="G117" s="108"/>
      <c r="H117" s="108"/>
      <c r="I117" s="108"/>
    </row>
    <row r="118" spans="2:9" x14ac:dyDescent="0.25">
      <c r="B118" s="108"/>
      <c r="C118" s="108"/>
      <c r="D118" s="108"/>
      <c r="E118" s="108"/>
      <c r="F118" s="108"/>
      <c r="G118" s="108"/>
      <c r="H118" s="108"/>
      <c r="I118" s="108"/>
    </row>
    <row r="119" spans="2:9" x14ac:dyDescent="0.25">
      <c r="B119" s="108"/>
      <c r="C119" s="108"/>
      <c r="D119" s="108"/>
      <c r="E119" s="108"/>
      <c r="F119" s="108"/>
      <c r="G119" s="108"/>
      <c r="H119" s="108"/>
      <c r="I119" s="108"/>
    </row>
    <row r="120" spans="2:9" x14ac:dyDescent="0.25">
      <c r="B120" s="108"/>
      <c r="C120" s="108"/>
      <c r="D120" s="108"/>
      <c r="E120" s="108"/>
      <c r="F120" s="108"/>
      <c r="G120" s="108"/>
      <c r="H120" s="108"/>
      <c r="I120" s="108"/>
    </row>
    <row r="121" spans="2:9" x14ac:dyDescent="0.25">
      <c r="B121" s="108"/>
      <c r="C121" s="108"/>
      <c r="D121" s="108"/>
      <c r="E121" s="108"/>
      <c r="F121" s="108"/>
      <c r="G121" s="108"/>
      <c r="H121" s="108"/>
      <c r="I121" s="108"/>
    </row>
    <row r="122" spans="2:9" x14ac:dyDescent="0.25">
      <c r="B122" s="108"/>
      <c r="C122" s="108"/>
      <c r="D122" s="108"/>
      <c r="E122" s="108"/>
      <c r="F122" s="108"/>
      <c r="G122" s="108"/>
      <c r="H122" s="108"/>
      <c r="I122" s="108"/>
    </row>
    <row r="123" spans="2:9" x14ac:dyDescent="0.25">
      <c r="B123" s="108"/>
      <c r="C123" s="108"/>
      <c r="D123" s="108"/>
      <c r="E123" s="108"/>
      <c r="F123" s="108"/>
      <c r="G123" s="108"/>
      <c r="H123" s="108"/>
      <c r="I123" s="108"/>
    </row>
    <row r="124" spans="2:9" x14ac:dyDescent="0.25">
      <c r="B124" s="108"/>
      <c r="C124" s="108"/>
      <c r="D124" s="108"/>
      <c r="E124" s="108"/>
      <c r="F124" s="108"/>
      <c r="G124" s="108"/>
      <c r="H124" s="108"/>
      <c r="I124" s="108"/>
    </row>
    <row r="125" spans="2:9" x14ac:dyDescent="0.25">
      <c r="B125" s="108"/>
      <c r="C125" s="108"/>
      <c r="D125" s="108"/>
      <c r="E125" s="108"/>
      <c r="F125" s="108"/>
      <c r="G125" s="108"/>
      <c r="H125" s="108"/>
      <c r="I125" s="108"/>
    </row>
    <row r="126" spans="2:9" x14ac:dyDescent="0.25">
      <c r="B126" s="108"/>
      <c r="C126" s="108"/>
      <c r="D126" s="108"/>
      <c r="E126" s="108"/>
      <c r="F126" s="108"/>
      <c r="G126" s="108"/>
      <c r="H126" s="108"/>
      <c r="I126" s="108"/>
    </row>
    <row r="127" spans="2:9" x14ac:dyDescent="0.25">
      <c r="B127" s="108"/>
      <c r="C127" s="108"/>
      <c r="D127" s="108"/>
      <c r="E127" s="108"/>
      <c r="F127" s="108"/>
      <c r="G127" s="108"/>
      <c r="H127" s="108"/>
      <c r="I127" s="108"/>
    </row>
    <row r="128" spans="2:9" x14ac:dyDescent="0.25">
      <c r="B128" s="108"/>
      <c r="C128" s="108"/>
      <c r="D128" s="108"/>
      <c r="E128" s="108"/>
      <c r="F128" s="108"/>
      <c r="G128" s="108"/>
      <c r="H128" s="108"/>
      <c r="I128" s="108"/>
    </row>
    <row r="129" spans="2:9" x14ac:dyDescent="0.25">
      <c r="B129" s="108"/>
      <c r="C129" s="108"/>
      <c r="D129" s="108"/>
      <c r="E129" s="108"/>
      <c r="F129" s="108"/>
      <c r="G129" s="108"/>
      <c r="H129" s="108"/>
      <c r="I129" s="108"/>
    </row>
    <row r="130" spans="2:9" x14ac:dyDescent="0.25">
      <c r="B130" s="108"/>
      <c r="C130" s="108"/>
      <c r="D130" s="108"/>
      <c r="E130" s="108"/>
      <c r="F130" s="108"/>
      <c r="G130" s="108"/>
      <c r="H130" s="108"/>
      <c r="I130" s="108"/>
    </row>
    <row r="131" spans="2:9" x14ac:dyDescent="0.25">
      <c r="B131" s="108"/>
      <c r="C131" s="108"/>
      <c r="D131" s="108"/>
      <c r="E131" s="108"/>
      <c r="F131" s="108"/>
      <c r="G131" s="108"/>
      <c r="H131" s="108"/>
      <c r="I131" s="108"/>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topLeftCell="A34" zoomScaleNormal="100" workbookViewId="0">
      <selection activeCell="N60" sqref="N60"/>
    </sheetView>
  </sheetViews>
  <sheetFormatPr defaultColWidth="8.7109375" defaultRowHeight="15" x14ac:dyDescent="0.25"/>
  <cols>
    <col min="1" max="1" width="6.28515625" style="22" customWidth="1"/>
    <col min="2" max="2" width="4" style="21" customWidth="1"/>
    <col min="3" max="3" width="40.85546875" style="21" customWidth="1"/>
    <col min="4" max="6" width="15.140625" style="22" customWidth="1"/>
    <col min="7" max="7" width="4.140625" style="22" customWidth="1"/>
    <col min="8" max="10" width="7.140625" style="22" customWidth="1"/>
    <col min="11" max="16384" width="8.7109375" style="22"/>
  </cols>
  <sheetData>
    <row r="24" spans="3:6" ht="15.75" thickBot="1" x14ac:dyDescent="0.3"/>
    <row r="25" spans="3:6" ht="19.5" customHeight="1" thickBot="1" x14ac:dyDescent="0.3">
      <c r="C25" s="144" t="s">
        <v>56</v>
      </c>
      <c r="D25" s="145"/>
      <c r="E25" s="145"/>
      <c r="F25" s="145"/>
    </row>
    <row r="26" spans="3:6" ht="16.149999999999999" customHeight="1" x14ac:dyDescent="0.25">
      <c r="C26" s="35" t="s">
        <v>289</v>
      </c>
      <c r="F26" s="98">
        <v>9.5000000000000001E-2</v>
      </c>
    </row>
    <row r="27" spans="3:6" x14ac:dyDescent="0.25">
      <c r="C27" s="35" t="s">
        <v>55</v>
      </c>
      <c r="F27" s="98">
        <v>5.2499999999999998E-2</v>
      </c>
    </row>
    <row r="28" spans="3:6" x14ac:dyDescent="0.25">
      <c r="C28" s="35" t="s">
        <v>54</v>
      </c>
      <c r="F28" s="98">
        <v>7.85E-2</v>
      </c>
    </row>
    <row r="29" spans="3:6" x14ac:dyDescent="0.25">
      <c r="C29" s="35" t="s">
        <v>290</v>
      </c>
      <c r="F29" s="97">
        <v>0.28000000000000003</v>
      </c>
    </row>
    <row r="30" spans="3:6" x14ac:dyDescent="0.25">
      <c r="C30" s="35" t="s">
        <v>291</v>
      </c>
      <c r="F30" s="96">
        <v>125000</v>
      </c>
    </row>
    <row r="31" spans="3:6" x14ac:dyDescent="0.25">
      <c r="C31" s="35" t="s">
        <v>292</v>
      </c>
      <c r="F31" s="96">
        <v>420000</v>
      </c>
    </row>
    <row r="32" spans="3:6" x14ac:dyDescent="0.25">
      <c r="C32" s="35" t="s">
        <v>293</v>
      </c>
      <c r="F32" s="96">
        <v>70000</v>
      </c>
    </row>
    <row r="33" spans="3:12" ht="7.5" customHeight="1" thickBot="1" x14ac:dyDescent="0.3">
      <c r="C33" s="36"/>
      <c r="D33" s="25"/>
      <c r="E33" s="25"/>
      <c r="F33" s="37"/>
    </row>
    <row r="34" spans="3:12" x14ac:dyDescent="0.25">
      <c r="C34" s="35"/>
      <c r="F34" s="96"/>
    </row>
    <row r="35" spans="3:12" ht="21.75" thickBot="1" x14ac:dyDescent="0.4">
      <c r="C35" s="146" t="s">
        <v>22</v>
      </c>
      <c r="D35" s="146"/>
      <c r="E35" s="146"/>
      <c r="F35" s="146"/>
    </row>
    <row r="36" spans="3:12" ht="19.5" customHeight="1" thickBot="1" x14ac:dyDescent="0.3">
      <c r="C36" s="125"/>
      <c r="D36" s="105" t="s">
        <v>297</v>
      </c>
      <c r="E36" s="105" t="s">
        <v>294</v>
      </c>
      <c r="F36" s="105" t="s">
        <v>295</v>
      </c>
    </row>
    <row r="37" spans="3:12" ht="17.25" customHeight="1" x14ac:dyDescent="0.25">
      <c r="C37" s="31" t="s">
        <v>17</v>
      </c>
      <c r="D37" s="22">
        <v>3500000</v>
      </c>
      <c r="E37" s="22">
        <v>3685000</v>
      </c>
      <c r="F37" s="42">
        <f>E37*(1+F26)</f>
        <v>4035075</v>
      </c>
    </row>
    <row r="38" spans="3:12" ht="17.25" x14ac:dyDescent="0.4">
      <c r="C38" s="34" t="s">
        <v>23</v>
      </c>
      <c r="D38" s="81">
        <v>1845250</v>
      </c>
      <c r="E38" s="81">
        <v>1964280</v>
      </c>
      <c r="F38" s="81">
        <f>$F$37*J38*1.06</f>
        <v>2267464.9654821428</v>
      </c>
      <c r="H38" s="47">
        <f>D38/D$37</f>
        <v>0.52721428571428575</v>
      </c>
      <c r="I38" s="47">
        <f>E38/E$37</f>
        <v>0.53304748982360928</v>
      </c>
      <c r="J38" s="49">
        <f>AVERAGE(H38:I38)</f>
        <v>0.53013088776894746</v>
      </c>
      <c r="L38" s="108"/>
    </row>
    <row r="39" spans="3:12" x14ac:dyDescent="0.25">
      <c r="C39" s="32" t="s">
        <v>24</v>
      </c>
      <c r="D39" s="22">
        <f>D37-D38</f>
        <v>1654750</v>
      </c>
      <c r="E39" s="22">
        <f>E37-E38</f>
        <v>1720720</v>
      </c>
      <c r="F39" s="22">
        <f>F37-F38</f>
        <v>1767610.0345178572</v>
      </c>
    </row>
    <row r="40" spans="3:12" x14ac:dyDescent="0.25">
      <c r="C40" s="31" t="s">
        <v>25</v>
      </c>
      <c r="D40" s="22">
        <v>695000</v>
      </c>
      <c r="E40" s="22">
        <v>742000</v>
      </c>
      <c r="F40" s="22">
        <f>$F$37*J40</f>
        <v>806870.30357142852</v>
      </c>
      <c r="G40" s="24"/>
      <c r="H40" s="47">
        <f>D40/D$37</f>
        <v>0.19857142857142857</v>
      </c>
      <c r="I40" s="47">
        <f>E40/E$37</f>
        <v>0.20135685210312076</v>
      </c>
      <c r="J40" s="49">
        <f>AVERAGE(H40:I40)</f>
        <v>0.19996414033727467</v>
      </c>
    </row>
    <row r="41" spans="3:12" x14ac:dyDescent="0.25">
      <c r="C41" s="31" t="s">
        <v>26</v>
      </c>
      <c r="D41" s="22">
        <v>140000</v>
      </c>
      <c r="E41" s="22">
        <v>145000</v>
      </c>
      <c r="F41" s="131">
        <v>150000</v>
      </c>
    </row>
    <row r="42" spans="3:12" ht="17.25" x14ac:dyDescent="0.4">
      <c r="C42" s="34" t="s">
        <v>27</v>
      </c>
      <c r="D42" s="81">
        <v>55000</v>
      </c>
      <c r="E42" s="81">
        <v>52500</v>
      </c>
      <c r="F42" s="81">
        <f>E42+F32</f>
        <v>122500</v>
      </c>
    </row>
    <row r="43" spans="3:12" x14ac:dyDescent="0.25">
      <c r="C43" s="32" t="s">
        <v>28</v>
      </c>
      <c r="D43" s="22">
        <f>D39-D40-D41-D42</f>
        <v>764750</v>
      </c>
      <c r="E43" s="22">
        <f>E39-E40-E41-E42</f>
        <v>781220</v>
      </c>
      <c r="F43" s="22">
        <f>F39-F40-F41-F42</f>
        <v>688239.73094642872</v>
      </c>
    </row>
    <row r="44" spans="3:12" ht="17.25" x14ac:dyDescent="0.4">
      <c r="C44" s="34" t="s">
        <v>29</v>
      </c>
      <c r="D44" s="81">
        <v>25000</v>
      </c>
      <c r="E44" s="81">
        <v>26250</v>
      </c>
      <c r="F44" s="81">
        <f>F27*E61+F28*E64</f>
        <v>16356.412499999999</v>
      </c>
    </row>
    <row r="45" spans="3:12" x14ac:dyDescent="0.25">
      <c r="C45" s="32" t="s">
        <v>30</v>
      </c>
      <c r="D45" s="22">
        <f>D43-D44</f>
        <v>739750</v>
      </c>
      <c r="E45" s="22">
        <f>E43-E44</f>
        <v>754970</v>
      </c>
      <c r="F45" s="22">
        <f>F43-F44</f>
        <v>671883.31844642875</v>
      </c>
    </row>
    <row r="46" spans="3:12" ht="17.25" x14ac:dyDescent="0.4">
      <c r="C46" s="34" t="s">
        <v>31</v>
      </c>
      <c r="D46" s="81">
        <f>D45*0.35</f>
        <v>258912.49999999997</v>
      </c>
      <c r="E46" s="81">
        <f>E45*0.35</f>
        <v>264239.5</v>
      </c>
      <c r="F46" s="81">
        <f>F45*F29</f>
        <v>188127.32916500006</v>
      </c>
    </row>
    <row r="47" spans="3:12" ht="15.75" thickBot="1" x14ac:dyDescent="0.3">
      <c r="C47" s="33" t="s">
        <v>19</v>
      </c>
      <c r="D47" s="25">
        <f>D45-D46</f>
        <v>480837.5</v>
      </c>
      <c r="E47" s="25">
        <f>E45-E46</f>
        <v>490730.5</v>
      </c>
      <c r="F47" s="25">
        <f>F45-F46</f>
        <v>483755.98928142869</v>
      </c>
    </row>
    <row r="48" spans="3:12" ht="7.5" customHeight="1" x14ac:dyDescent="0.25">
      <c r="C48" s="100"/>
      <c r="D48" s="108"/>
      <c r="E48" s="108"/>
      <c r="F48" s="108"/>
    </row>
    <row r="49" spans="2:10" ht="21.75" thickBot="1" x14ac:dyDescent="0.4">
      <c r="B49" s="146" t="s">
        <v>32</v>
      </c>
      <c r="C49" s="146"/>
      <c r="D49" s="146"/>
      <c r="E49" s="146"/>
      <c r="F49" s="146"/>
    </row>
    <row r="50" spans="2:10" ht="15.75" thickBot="1" x14ac:dyDescent="0.3">
      <c r="B50" s="133" t="s">
        <v>269</v>
      </c>
      <c r="C50" s="133"/>
      <c r="D50" s="105" t="s">
        <v>297</v>
      </c>
      <c r="E50" s="105" t="s">
        <v>294</v>
      </c>
      <c r="F50" s="105" t="s">
        <v>295</v>
      </c>
    </row>
    <row r="51" spans="2:10" x14ac:dyDescent="0.25">
      <c r="B51" s="27" t="s">
        <v>33</v>
      </c>
      <c r="D51" s="22">
        <v>289730</v>
      </c>
      <c r="E51" s="22">
        <v>643946</v>
      </c>
      <c r="F51" s="131">
        <v>586225</v>
      </c>
    </row>
    <row r="52" spans="2:10" x14ac:dyDescent="0.25">
      <c r="B52" s="27" t="s">
        <v>34</v>
      </c>
      <c r="D52" s="22">
        <v>465920</v>
      </c>
      <c r="E52" s="22">
        <v>446500</v>
      </c>
      <c r="F52" s="22">
        <f>$F$37*J52</f>
        <v>513033.34199999995</v>
      </c>
      <c r="H52" s="47">
        <f>D52/D$37</f>
        <v>0.13311999999999999</v>
      </c>
      <c r="I52" s="47">
        <f>E52/E$37</f>
        <v>0.12116689280868385</v>
      </c>
      <c r="J52" s="49">
        <f>AVERAGE(H52:I52)</f>
        <v>0.12714344640434191</v>
      </c>
    </row>
    <row r="53" spans="2:10" ht="17.25" x14ac:dyDescent="0.4">
      <c r="B53" s="27" t="s">
        <v>35</v>
      </c>
      <c r="D53" s="81">
        <v>382450</v>
      </c>
      <c r="E53" s="81">
        <v>461000</v>
      </c>
      <c r="F53" s="81">
        <f>$F$37*J53</f>
        <v>472856.70482142858</v>
      </c>
      <c r="H53" s="47">
        <f>D53/D$37</f>
        <v>0.10927142857142857</v>
      </c>
      <c r="I53" s="47">
        <f>E53/E$37</f>
        <v>0.12510176390773406</v>
      </c>
      <c r="J53" s="49">
        <f>AVERAGE(H53:I53)</f>
        <v>0.11718659623958132</v>
      </c>
    </row>
    <row r="54" spans="2:10" x14ac:dyDescent="0.25">
      <c r="B54" s="28" t="s">
        <v>36</v>
      </c>
      <c r="D54" s="22">
        <f>D51+D52+D53</f>
        <v>1138100</v>
      </c>
      <c r="E54" s="22">
        <f>E51+E52+E53</f>
        <v>1551446</v>
      </c>
      <c r="F54" s="22">
        <f>SUM(F51:F53)</f>
        <v>1572115.0468214285</v>
      </c>
    </row>
    <row r="55" spans="2:10" x14ac:dyDescent="0.25">
      <c r="B55" s="27" t="s">
        <v>37</v>
      </c>
      <c r="D55" s="22">
        <v>750000</v>
      </c>
      <c r="E55" s="22">
        <v>1025000</v>
      </c>
      <c r="F55" s="22">
        <f>E55+F31</f>
        <v>1445000</v>
      </c>
    </row>
    <row r="56" spans="2:10" ht="17.25" x14ac:dyDescent="0.4">
      <c r="B56" s="27" t="s">
        <v>38</v>
      </c>
      <c r="D56" s="81">
        <v>365000</v>
      </c>
      <c r="E56" s="81">
        <v>545000</v>
      </c>
      <c r="F56" s="81">
        <f>E56+F42</f>
        <v>667500</v>
      </c>
    </row>
    <row r="57" spans="2:10" ht="17.25" x14ac:dyDescent="0.4">
      <c r="B57" s="28" t="s">
        <v>39</v>
      </c>
      <c r="D57" s="81">
        <f>D55-D56</f>
        <v>385000</v>
      </c>
      <c r="E57" s="81">
        <f>E55-E56</f>
        <v>480000</v>
      </c>
      <c r="F57" s="81">
        <f>F55-F56</f>
        <v>777500</v>
      </c>
    </row>
    <row r="58" spans="2:10" ht="15.75" thickBot="1" x14ac:dyDescent="0.3">
      <c r="B58" s="28" t="s">
        <v>40</v>
      </c>
      <c r="D58" s="22">
        <f>D54+D57</f>
        <v>1523100</v>
      </c>
      <c r="E58" s="22">
        <f>E54+E57</f>
        <v>2031446</v>
      </c>
      <c r="F58" s="22">
        <f>F54+F57</f>
        <v>2349615.0468214285</v>
      </c>
    </row>
    <row r="59" spans="2:10" ht="16.149999999999999" customHeight="1" x14ac:dyDescent="0.25">
      <c r="B59" s="26" t="s">
        <v>41</v>
      </c>
      <c r="C59" s="26"/>
      <c r="D59" s="23"/>
      <c r="E59" s="23"/>
      <c r="F59" s="23"/>
    </row>
    <row r="60" spans="2:10" x14ac:dyDescent="0.25">
      <c r="B60" s="27" t="s">
        <v>42</v>
      </c>
      <c r="D60" s="22">
        <v>346000</v>
      </c>
      <c r="E60" s="22">
        <v>385000</v>
      </c>
      <c r="F60" s="22">
        <f>$F$37*J60</f>
        <v>410235.49285714282</v>
      </c>
      <c r="H60" s="47">
        <f>D60/D$37</f>
        <v>9.8857142857142852E-2</v>
      </c>
      <c r="I60" s="47">
        <f>E60/E$37</f>
        <v>0.1044776119402985</v>
      </c>
      <c r="J60" s="49">
        <f>AVERAGE(H60:I60)</f>
        <v>0.10166737739872067</v>
      </c>
    </row>
    <row r="61" spans="2:10" x14ac:dyDescent="0.25">
      <c r="B61" s="27" t="s">
        <v>43</v>
      </c>
      <c r="D61" s="22">
        <v>85650</v>
      </c>
      <c r="E61" s="22">
        <v>87265</v>
      </c>
      <c r="F61" s="131">
        <v>94765</v>
      </c>
    </row>
    <row r="62" spans="2:10" ht="17.25" x14ac:dyDescent="0.4">
      <c r="B62" s="27" t="s">
        <v>44</v>
      </c>
      <c r="D62" s="81">
        <v>45000</v>
      </c>
      <c r="E62" s="81">
        <v>62000</v>
      </c>
      <c r="F62" s="132">
        <v>58000</v>
      </c>
    </row>
    <row r="63" spans="2:10" x14ac:dyDescent="0.25">
      <c r="B63" s="28" t="s">
        <v>45</v>
      </c>
      <c r="D63" s="22">
        <f>D60+D61+D62</f>
        <v>476650</v>
      </c>
      <c r="E63" s="22">
        <f>E60+E61+E62</f>
        <v>534265</v>
      </c>
      <c r="F63" s="22">
        <f>SUM(F60:F62)</f>
        <v>563000.49285714282</v>
      </c>
    </row>
    <row r="64" spans="2:10" ht="17.25" x14ac:dyDescent="0.4">
      <c r="B64" s="27" t="s">
        <v>46</v>
      </c>
      <c r="D64" s="81">
        <v>150000</v>
      </c>
      <c r="E64" s="81">
        <v>150000</v>
      </c>
      <c r="F64" s="132">
        <v>245000</v>
      </c>
    </row>
    <row r="65" spans="2:6" x14ac:dyDescent="0.25">
      <c r="B65" s="28" t="s">
        <v>47</v>
      </c>
      <c r="D65" s="22">
        <f>D63+D64</f>
        <v>626650</v>
      </c>
      <c r="E65" s="22">
        <f>E63+E64</f>
        <v>684265</v>
      </c>
      <c r="F65" s="22">
        <f>F63+F64</f>
        <v>808000.49285714282</v>
      </c>
    </row>
    <row r="66" spans="2:6" x14ac:dyDescent="0.25">
      <c r="B66" s="27" t="s">
        <v>48</v>
      </c>
      <c r="D66" s="22">
        <v>350000</v>
      </c>
      <c r="E66" s="22">
        <v>350000</v>
      </c>
      <c r="F66" s="131">
        <v>350000</v>
      </c>
    </row>
    <row r="67" spans="2:6" ht="17.25" x14ac:dyDescent="0.4">
      <c r="B67" s="27" t="s">
        <v>49</v>
      </c>
      <c r="D67" s="81">
        <v>546450</v>
      </c>
      <c r="E67" s="81">
        <f>D67+E47-40000</f>
        <v>997180.5</v>
      </c>
      <c r="F67" s="81">
        <f>E67+F47-F30</f>
        <v>1355936.4892814287</v>
      </c>
    </row>
    <row r="68" spans="2:6" ht="17.25" x14ac:dyDescent="0.4">
      <c r="B68" s="28" t="s">
        <v>50</v>
      </c>
      <c r="D68" s="81">
        <f>D66+D67</f>
        <v>896450</v>
      </c>
      <c r="E68" s="81">
        <f>E66+E67</f>
        <v>1347180.5</v>
      </c>
      <c r="F68" s="81">
        <f>F66+F67</f>
        <v>1705936.4892814287</v>
      </c>
    </row>
    <row r="69" spans="2:6" ht="15.75" thickBot="1" x14ac:dyDescent="0.3">
      <c r="B69" s="29" t="s">
        <v>51</v>
      </c>
      <c r="C69" s="30"/>
      <c r="D69" s="25">
        <f>D65+D68</f>
        <v>1523100</v>
      </c>
      <c r="E69" s="25">
        <f>E65+E68</f>
        <v>2031445.5</v>
      </c>
      <c r="F69" s="25">
        <f>F65+F68</f>
        <v>2513936.9821385713</v>
      </c>
    </row>
    <row r="70" spans="2:6" ht="6" customHeight="1" x14ac:dyDescent="0.25"/>
    <row r="71" spans="2:6" ht="4.5" customHeight="1" thickBot="1" x14ac:dyDescent="0.3"/>
    <row r="72" spans="2:6" ht="15.75" thickBot="1" x14ac:dyDescent="0.3">
      <c r="C72" s="21" t="s">
        <v>296</v>
      </c>
      <c r="F72" s="20">
        <f>F69-F58</f>
        <v>164321.93531714287</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election activeCell="E83" sqref="E83"/>
    </sheetView>
  </sheetViews>
  <sheetFormatPr defaultColWidth="9.140625" defaultRowHeight="15" x14ac:dyDescent="0.25"/>
  <cols>
    <col min="1" max="1" width="3" style="108" customWidth="1"/>
    <col min="2" max="2" width="9.140625" style="108"/>
    <col min="3" max="3" width="3.7109375" style="108" customWidth="1"/>
    <col min="4" max="4" width="3.28515625" style="108" customWidth="1"/>
    <col min="5" max="5" width="72.28515625" style="108" customWidth="1"/>
    <col min="6" max="6" width="11.42578125" style="108" bestFit="1" customWidth="1"/>
    <col min="7" max="7" width="12.140625" style="108" bestFit="1" customWidth="1"/>
    <col min="8" max="11" width="9.140625" style="108"/>
    <col min="12" max="12" width="9.42578125" style="108" bestFit="1" customWidth="1"/>
    <col min="13" max="13" width="11.7109375" style="108" customWidth="1"/>
    <col min="14" max="14" width="10.7109375" style="108" customWidth="1"/>
    <col min="15" max="16384" width="9.140625" style="108"/>
  </cols>
  <sheetData>
    <row r="2" spans="2:13" ht="18.75" x14ac:dyDescent="0.25">
      <c r="B2" s="101"/>
      <c r="E2" s="102" t="s">
        <v>200</v>
      </c>
    </row>
    <row r="3" spans="2:13" x14ac:dyDescent="0.25">
      <c r="B3" s="101"/>
      <c r="E3" s="103" t="s">
        <v>265</v>
      </c>
    </row>
    <row r="4" spans="2:13" x14ac:dyDescent="0.25">
      <c r="B4" s="101"/>
    </row>
    <row r="5" spans="2:13" x14ac:dyDescent="0.25">
      <c r="B5" s="101"/>
      <c r="E5" s="100" t="s">
        <v>113</v>
      </c>
    </row>
    <row r="6" spans="2:13" x14ac:dyDescent="0.25">
      <c r="E6" s="100" t="s">
        <v>114</v>
      </c>
    </row>
    <row r="7" spans="2:13" ht="15.75" thickBot="1" x14ac:dyDescent="0.3"/>
    <row r="8" spans="2:13" ht="15.75" thickBot="1" x14ac:dyDescent="0.3">
      <c r="B8" s="106" t="b">
        <v>1</v>
      </c>
      <c r="C8" s="107" t="s">
        <v>0</v>
      </c>
      <c r="D8" s="107"/>
      <c r="E8" s="147" t="s">
        <v>191</v>
      </c>
      <c r="L8" s="95"/>
      <c r="M8" s="95"/>
    </row>
    <row r="9" spans="2:13" ht="30.6" customHeight="1" x14ac:dyDescent="0.25">
      <c r="E9" s="147"/>
      <c r="L9" s="95"/>
      <c r="M9" s="95"/>
    </row>
    <row r="10" spans="2:13" ht="15.75" thickBot="1" x14ac:dyDescent="0.3">
      <c r="L10" s="95"/>
      <c r="M10" s="95"/>
    </row>
    <row r="11" spans="2:13" ht="18" customHeight="1" thickBot="1" x14ac:dyDescent="0.3">
      <c r="B11" s="106" t="b">
        <v>1</v>
      </c>
      <c r="C11" s="107" t="s">
        <v>1</v>
      </c>
      <c r="D11" s="107"/>
      <c r="E11" s="147" t="s">
        <v>253</v>
      </c>
      <c r="L11" s="95"/>
      <c r="M11" s="95"/>
    </row>
    <row r="12" spans="2:13" ht="18" customHeight="1" x14ac:dyDescent="0.25">
      <c r="E12" s="147"/>
      <c r="L12" s="95"/>
      <c r="M12" s="95"/>
    </row>
    <row r="13" spans="2:13" ht="15.75" thickBot="1" x14ac:dyDescent="0.3">
      <c r="L13" s="95"/>
      <c r="M13" s="95"/>
    </row>
    <row r="14" spans="2:13" ht="18" customHeight="1" thickBot="1" x14ac:dyDescent="0.3">
      <c r="B14" s="106" t="b">
        <v>0</v>
      </c>
      <c r="C14" s="107" t="s">
        <v>6</v>
      </c>
      <c r="D14" s="107"/>
      <c r="E14" s="147" t="s">
        <v>254</v>
      </c>
      <c r="L14" s="95"/>
      <c r="M14" s="95"/>
    </row>
    <row r="15" spans="2:13" x14ac:dyDescent="0.25">
      <c r="E15" s="147"/>
      <c r="L15" s="95"/>
      <c r="M15" s="95"/>
    </row>
    <row r="16" spans="2:13" ht="15.75" thickBot="1" x14ac:dyDescent="0.3">
      <c r="L16" s="95"/>
      <c r="M16" s="95"/>
    </row>
    <row r="17" spans="2:13" ht="15" customHeight="1" thickBot="1" x14ac:dyDescent="0.3">
      <c r="B17" s="106" t="b">
        <v>1</v>
      </c>
      <c r="C17" s="107" t="s">
        <v>7</v>
      </c>
      <c r="D17" s="107"/>
      <c r="E17" s="147" t="s">
        <v>255</v>
      </c>
      <c r="L17" s="95"/>
      <c r="M17" s="95"/>
    </row>
    <row r="18" spans="2:13" ht="25.9" customHeight="1" thickBot="1" x14ac:dyDescent="0.3">
      <c r="E18" s="147"/>
      <c r="L18" s="95"/>
      <c r="M18" s="95"/>
    </row>
    <row r="19" spans="2:13" ht="16.5" customHeight="1" thickBot="1" x14ac:dyDescent="0.3">
      <c r="B19" s="106" t="b">
        <v>1</v>
      </c>
      <c r="C19" s="107" t="s">
        <v>115</v>
      </c>
      <c r="D19" s="107"/>
      <c r="E19" s="147" t="s">
        <v>232</v>
      </c>
    </row>
    <row r="20" spans="2:13" ht="16.5" customHeight="1" x14ac:dyDescent="0.25">
      <c r="E20" s="147"/>
    </row>
    <row r="21" spans="2:13" ht="15.75" thickBot="1" x14ac:dyDescent="0.3"/>
    <row r="22" spans="2:13" ht="15.75" thickBot="1" x14ac:dyDescent="0.3">
      <c r="B22" s="106" t="s">
        <v>238</v>
      </c>
      <c r="C22" s="107" t="s">
        <v>116</v>
      </c>
      <c r="D22" s="107"/>
      <c r="E22" s="147" t="s">
        <v>192</v>
      </c>
    </row>
    <row r="23" spans="2:13" x14ac:dyDescent="0.25">
      <c r="E23" s="147"/>
    </row>
    <row r="24" spans="2:13" x14ac:dyDescent="0.25">
      <c r="D24" s="108" t="s">
        <v>117</v>
      </c>
      <c r="E24" s="108" t="s">
        <v>256</v>
      </c>
    </row>
    <row r="25" spans="2:13" x14ac:dyDescent="0.25">
      <c r="D25" s="108" t="s">
        <v>118</v>
      </c>
      <c r="E25" s="108" t="s">
        <v>193</v>
      </c>
    </row>
    <row r="26" spans="2:13" x14ac:dyDescent="0.25">
      <c r="D26" s="108" t="s">
        <v>119</v>
      </c>
      <c r="E26" s="108" t="s">
        <v>194</v>
      </c>
    </row>
    <row r="27" spans="2:13" x14ac:dyDescent="0.25">
      <c r="D27" s="108" t="s">
        <v>120</v>
      </c>
      <c r="E27" s="108" t="s">
        <v>195</v>
      </c>
    </row>
    <row r="28" spans="2:13" x14ac:dyDescent="0.25">
      <c r="D28" s="108" t="s">
        <v>121</v>
      </c>
      <c r="E28" s="108" t="s">
        <v>122</v>
      </c>
    </row>
    <row r="29" spans="2:13" ht="15.75" thickBot="1" x14ac:dyDescent="0.3"/>
    <row r="30" spans="2:13" ht="18.75" customHeight="1" thickBot="1" x14ac:dyDescent="0.3">
      <c r="B30" s="106" t="b">
        <v>1</v>
      </c>
      <c r="C30" s="107" t="s">
        <v>123</v>
      </c>
      <c r="D30" s="107"/>
      <c r="E30" s="147" t="s">
        <v>257</v>
      </c>
    </row>
    <row r="31" spans="2:13" ht="23.45" customHeight="1" x14ac:dyDescent="0.25">
      <c r="E31" s="147"/>
    </row>
    <row r="32" spans="2:13" ht="15.75" thickBot="1" x14ac:dyDescent="0.3"/>
    <row r="33" spans="2:5" ht="15.75" thickBot="1" x14ac:dyDescent="0.3">
      <c r="B33" s="106" t="s">
        <v>201</v>
      </c>
      <c r="C33" s="107" t="s">
        <v>124</v>
      </c>
      <c r="D33" s="107"/>
      <c r="E33" s="147" t="s">
        <v>237</v>
      </c>
    </row>
    <row r="34" spans="2:5" ht="44.25" customHeight="1" x14ac:dyDescent="0.25">
      <c r="E34" s="147"/>
    </row>
    <row r="35" spans="2:5" x14ac:dyDescent="0.25">
      <c r="D35" s="108" t="s">
        <v>117</v>
      </c>
      <c r="E35" s="108" t="s">
        <v>196</v>
      </c>
    </row>
    <row r="36" spans="2:5" x14ac:dyDescent="0.25">
      <c r="D36" s="108" t="s">
        <v>118</v>
      </c>
      <c r="E36" s="108" t="s">
        <v>197</v>
      </c>
    </row>
    <row r="37" spans="2:5" x14ac:dyDescent="0.25">
      <c r="D37" s="108" t="s">
        <v>119</v>
      </c>
      <c r="E37" s="108" t="s">
        <v>258</v>
      </c>
    </row>
    <row r="38" spans="2:5" x14ac:dyDescent="0.25">
      <c r="D38" s="108" t="s">
        <v>120</v>
      </c>
      <c r="E38" s="108" t="s">
        <v>23</v>
      </c>
    </row>
    <row r="39" spans="2:5" x14ac:dyDescent="0.25">
      <c r="D39" s="108" t="s">
        <v>121</v>
      </c>
      <c r="E39" s="108" t="s">
        <v>198</v>
      </c>
    </row>
    <row r="40" spans="2:5" ht="15.75" thickBot="1" x14ac:dyDescent="0.3"/>
    <row r="41" spans="2:5" ht="20.25" customHeight="1" thickBot="1" x14ac:dyDescent="0.3">
      <c r="B41" s="106" t="b">
        <v>0</v>
      </c>
      <c r="C41" s="107" t="s">
        <v>125</v>
      </c>
      <c r="D41" s="107"/>
      <c r="E41" s="124" t="s">
        <v>236</v>
      </c>
    </row>
    <row r="42" spans="2:5" ht="41.25" customHeight="1" x14ac:dyDescent="0.25">
      <c r="E42" s="124" t="s">
        <v>259</v>
      </c>
    </row>
    <row r="43" spans="2:5" ht="15.75" thickBot="1" x14ac:dyDescent="0.3">
      <c r="E43" s="117"/>
    </row>
    <row r="44" spans="2:5" ht="15.75" thickBot="1" x14ac:dyDescent="0.3">
      <c r="B44" s="106" t="s">
        <v>201</v>
      </c>
      <c r="C44" s="107" t="s">
        <v>126</v>
      </c>
      <c r="E44" s="109" t="s">
        <v>260</v>
      </c>
    </row>
    <row r="45" spans="2:5" x14ac:dyDescent="0.25">
      <c r="E45" s="109"/>
    </row>
    <row r="46" spans="2:5" x14ac:dyDescent="0.25">
      <c r="D46" s="108" t="s">
        <v>117</v>
      </c>
      <c r="E46" s="109" t="s">
        <v>234</v>
      </c>
    </row>
    <row r="47" spans="2:5" x14ac:dyDescent="0.25">
      <c r="D47" s="108" t="s">
        <v>118</v>
      </c>
      <c r="E47" s="117" t="s">
        <v>233</v>
      </c>
    </row>
    <row r="48" spans="2:5" x14ac:dyDescent="0.25">
      <c r="D48" s="108" t="s">
        <v>119</v>
      </c>
      <c r="E48" s="117" t="s">
        <v>221</v>
      </c>
    </row>
    <row r="49" spans="2:5" x14ac:dyDescent="0.25">
      <c r="D49" s="108" t="s">
        <v>120</v>
      </c>
      <c r="E49" s="117" t="s">
        <v>235</v>
      </c>
    </row>
    <row r="50" spans="2:5" x14ac:dyDescent="0.25">
      <c r="D50" s="108" t="s">
        <v>121</v>
      </c>
      <c r="E50" s="117" t="s">
        <v>222</v>
      </c>
    </row>
    <row r="51" spans="2:5" ht="15.75" thickBot="1" x14ac:dyDescent="0.3">
      <c r="E51" s="109"/>
    </row>
    <row r="52" spans="2:5" ht="15.75" thickBot="1" x14ac:dyDescent="0.3">
      <c r="B52" s="106" t="s">
        <v>201</v>
      </c>
      <c r="C52" s="107" t="s">
        <v>223</v>
      </c>
      <c r="E52" s="109" t="s">
        <v>261</v>
      </c>
    </row>
    <row r="53" spans="2:5" x14ac:dyDescent="0.25">
      <c r="E53" s="109"/>
    </row>
    <row r="54" spans="2:5" x14ac:dyDescent="0.25">
      <c r="D54" s="108" t="s">
        <v>117</v>
      </c>
      <c r="E54" s="109" t="s">
        <v>234</v>
      </c>
    </row>
    <row r="55" spans="2:5" x14ac:dyDescent="0.25">
      <c r="D55" s="108" t="s">
        <v>118</v>
      </c>
      <c r="E55" s="109" t="s">
        <v>233</v>
      </c>
    </row>
    <row r="56" spans="2:5" x14ac:dyDescent="0.25">
      <c r="D56" s="108" t="s">
        <v>119</v>
      </c>
      <c r="E56" s="109" t="s">
        <v>221</v>
      </c>
    </row>
    <row r="57" spans="2:5" x14ac:dyDescent="0.25">
      <c r="D57" s="108" t="s">
        <v>120</v>
      </c>
      <c r="E57" s="109" t="s">
        <v>235</v>
      </c>
    </row>
    <row r="58" spans="2:5" x14ac:dyDescent="0.25">
      <c r="D58" s="108" t="s">
        <v>121</v>
      </c>
      <c r="E58" s="109" t="s">
        <v>262</v>
      </c>
    </row>
    <row r="59" spans="2:5" ht="15.75" thickBot="1" x14ac:dyDescent="0.3">
      <c r="E59" s="109"/>
    </row>
    <row r="60" spans="2:5" ht="15.75" thickBot="1" x14ac:dyDescent="0.3">
      <c r="B60" s="106" t="b">
        <v>1</v>
      </c>
      <c r="C60" s="107" t="s">
        <v>224</v>
      </c>
      <c r="D60" s="107"/>
      <c r="E60" s="147" t="s">
        <v>239</v>
      </c>
    </row>
    <row r="61" spans="2:5" ht="18" customHeight="1" x14ac:dyDescent="0.25">
      <c r="E61" s="147"/>
    </row>
    <row r="62" spans="2:5" ht="15.75" thickBot="1" x14ac:dyDescent="0.3">
      <c r="E62" s="109"/>
    </row>
    <row r="63" spans="2:5" ht="15.75" thickBot="1" x14ac:dyDescent="0.3">
      <c r="B63" s="106" t="b">
        <v>1</v>
      </c>
      <c r="C63" s="107" t="s">
        <v>225</v>
      </c>
      <c r="D63" s="107"/>
      <c r="E63" s="147" t="s">
        <v>263</v>
      </c>
    </row>
    <row r="64" spans="2:5" x14ac:dyDescent="0.25">
      <c r="E64" s="147"/>
    </row>
    <row r="65" spans="1:8" ht="15.75" thickBot="1" x14ac:dyDescent="0.3">
      <c r="E65" s="109"/>
    </row>
    <row r="66" spans="1:8" ht="15.75" thickBot="1" x14ac:dyDescent="0.3">
      <c r="B66" s="106" t="b">
        <v>0</v>
      </c>
      <c r="C66" s="107" t="s">
        <v>226</v>
      </c>
      <c r="D66" s="107"/>
      <c r="E66" s="147" t="s">
        <v>264</v>
      </c>
    </row>
    <row r="67" spans="1:8" x14ac:dyDescent="0.25">
      <c r="E67" s="147"/>
    </row>
    <row r="68" spans="1:8" ht="15.75" thickBot="1" x14ac:dyDescent="0.3">
      <c r="E68" s="109"/>
    </row>
    <row r="69" spans="1:8" ht="15.75" thickBot="1" x14ac:dyDescent="0.3">
      <c r="B69" s="106" t="b">
        <v>0</v>
      </c>
      <c r="C69" s="107" t="s">
        <v>227</v>
      </c>
      <c r="D69" s="107"/>
      <c r="E69" s="147" t="s">
        <v>228</v>
      </c>
    </row>
    <row r="70" spans="1:8" x14ac:dyDescent="0.25">
      <c r="E70" s="147"/>
    </row>
    <row r="71" spans="1:8" x14ac:dyDescent="0.25">
      <c r="E71" s="109"/>
    </row>
    <row r="72" spans="1:8" x14ac:dyDescent="0.25">
      <c r="E72" s="109"/>
    </row>
    <row r="73" spans="1:8" x14ac:dyDescent="0.25">
      <c r="E73" s="109"/>
    </row>
    <row r="74" spans="1:8" x14ac:dyDescent="0.25">
      <c r="E74" s="109"/>
    </row>
    <row r="75" spans="1:8" x14ac:dyDescent="0.25">
      <c r="E75" s="109"/>
    </row>
    <row r="76" spans="1:8" x14ac:dyDescent="0.25">
      <c r="E76" s="109"/>
    </row>
    <row r="77" spans="1:8" ht="15.75" thickBot="1" x14ac:dyDescent="0.3"/>
    <row r="78" spans="1:8" ht="25.5" customHeight="1" thickBot="1" x14ac:dyDescent="0.3">
      <c r="A78" s="148" t="s">
        <v>127</v>
      </c>
      <c r="B78" s="149"/>
      <c r="C78" s="149"/>
      <c r="D78" s="149"/>
      <c r="E78" s="149"/>
      <c r="F78" s="149"/>
      <c r="G78" s="149"/>
      <c r="H78" s="150"/>
    </row>
    <row r="80" spans="1:8" x14ac:dyDescent="0.25">
      <c r="A80" s="108">
        <v>1</v>
      </c>
      <c r="B80" s="68" t="b">
        <f>B8</f>
        <v>1</v>
      </c>
    </row>
    <row r="81" spans="1:2" x14ac:dyDescent="0.25">
      <c r="A81" s="108">
        <v>2</v>
      </c>
      <c r="B81" s="68" t="b">
        <f>B11</f>
        <v>1</v>
      </c>
    </row>
    <row r="82" spans="1:2" x14ac:dyDescent="0.25">
      <c r="A82" s="108">
        <v>3</v>
      </c>
      <c r="B82" s="68" t="b">
        <f>B14</f>
        <v>0</v>
      </c>
    </row>
    <row r="83" spans="1:2" x14ac:dyDescent="0.25">
      <c r="A83" s="108">
        <v>4</v>
      </c>
      <c r="B83" s="68" t="b">
        <f>B17</f>
        <v>1</v>
      </c>
    </row>
    <row r="84" spans="1:2" ht="15.75" thickBot="1" x14ac:dyDescent="0.3">
      <c r="A84" s="67">
        <v>5</v>
      </c>
      <c r="B84" s="76" t="b">
        <f>B19</f>
        <v>1</v>
      </c>
    </row>
    <row r="85" spans="1:2" x14ac:dyDescent="0.25">
      <c r="A85" s="108">
        <v>6</v>
      </c>
      <c r="B85" s="68" t="str">
        <f>B22</f>
        <v>D</v>
      </c>
    </row>
    <row r="86" spans="1:2" x14ac:dyDescent="0.25">
      <c r="A86" s="108">
        <v>7</v>
      </c>
      <c r="B86" s="68" t="b">
        <f>B30</f>
        <v>1</v>
      </c>
    </row>
    <row r="87" spans="1:2" x14ac:dyDescent="0.25">
      <c r="A87" s="108">
        <v>8</v>
      </c>
      <c r="B87" s="68" t="str">
        <f>B33</f>
        <v>C</v>
      </c>
    </row>
    <row r="88" spans="1:2" x14ac:dyDescent="0.25">
      <c r="A88" s="108">
        <v>9</v>
      </c>
      <c r="B88" s="68" t="b">
        <f>B41</f>
        <v>0</v>
      </c>
    </row>
    <row r="89" spans="1:2" ht="15.75" thickBot="1" x14ac:dyDescent="0.3">
      <c r="A89" s="67">
        <v>10</v>
      </c>
      <c r="B89" s="76" t="str">
        <f>B44</f>
        <v>C</v>
      </c>
    </row>
    <row r="90" spans="1:2" x14ac:dyDescent="0.25">
      <c r="A90" s="108">
        <v>11</v>
      </c>
      <c r="B90" s="68" t="str">
        <f>B52</f>
        <v>C</v>
      </c>
    </row>
    <row r="91" spans="1:2" x14ac:dyDescent="0.25">
      <c r="A91" s="108">
        <v>12</v>
      </c>
      <c r="B91" s="68" t="b">
        <f>B60</f>
        <v>1</v>
      </c>
    </row>
    <row r="92" spans="1:2" x14ac:dyDescent="0.25">
      <c r="A92" s="108">
        <v>13</v>
      </c>
      <c r="B92" s="68" t="b">
        <f>B63</f>
        <v>1</v>
      </c>
    </row>
    <row r="93" spans="1:2" x14ac:dyDescent="0.25">
      <c r="A93" s="108">
        <v>14</v>
      </c>
      <c r="B93" s="68" t="b">
        <f>B66</f>
        <v>0</v>
      </c>
    </row>
    <row r="94" spans="1:2" x14ac:dyDescent="0.25">
      <c r="A94" s="108">
        <v>15</v>
      </c>
      <c r="B94" s="68" t="b">
        <f>B69</f>
        <v>0</v>
      </c>
    </row>
  </sheetData>
  <mergeCells count="13">
    <mergeCell ref="E69:E70"/>
    <mergeCell ref="A78:H78"/>
    <mergeCell ref="E30:E31"/>
    <mergeCell ref="E33:E34"/>
    <mergeCell ref="E60:E61"/>
    <mergeCell ref="E63:E64"/>
    <mergeCell ref="E66:E67"/>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P1 - 20 Pts</vt:lpstr>
      <vt:lpstr>P2 - 5 Pts</vt:lpstr>
      <vt:lpstr>P3 - 10 Pts</vt:lpstr>
      <vt:lpstr>P4 10 Pts</vt:lpstr>
      <vt:lpstr>P5 - 20 Pts</vt:lpstr>
      <vt:lpstr>P6 - 15 Pts</vt:lpstr>
      <vt:lpstr>MC-TF 20 Pts</vt:lpstr>
      <vt:lpstr>'P5 - 20 Pts'!OLE_LINK1</vt:lpstr>
      <vt:lpstr>Periods</vt:lpstr>
      <vt:lpstr>'P6 - 15 Pts'!Print_Area</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2015-10-20T18:19:48Z</cp:lastPrinted>
  <dcterms:created xsi:type="dcterms:W3CDTF">2010-01-13T00:10:02Z</dcterms:created>
  <dcterms:modified xsi:type="dcterms:W3CDTF">2021-07-04T19:30:04Z</dcterms:modified>
</cp:coreProperties>
</file>