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076" windowWidth="20136" windowHeight="5124" tabRatio="775" activeTab="0"/>
  </bookViews>
  <sheets>
    <sheet name="Instructions" sheetId="1" r:id="rId1"/>
    <sheet name="Inputs" sheetId="2" r:id="rId2"/>
    <sheet name=" 1 " sheetId="3" r:id="rId3"/>
    <sheet name=" 2 " sheetId="4" r:id="rId4"/>
    <sheet name=" 3 " sheetId="5" r:id="rId5"/>
    <sheet name=" 4 " sheetId="6" r:id="rId6"/>
    <sheet name=" 5 " sheetId="7" r:id="rId7"/>
    <sheet name=" 6 " sheetId="8" r:id="rId8"/>
    <sheet name=" 7 " sheetId="9" r:id="rId9"/>
    <sheet name=" 8 " sheetId="10" r:id="rId10"/>
    <sheet name=" 9 " sheetId="11" r:id="rId11"/>
    <sheet name=" 10 " sheetId="12" r:id="rId12"/>
    <sheet name=" 11 "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FINAL" sheetId="29" r:id="rId29"/>
  </sheets>
  <definedNames>
    <definedName name="Collections0">'Inputs'!$G$5</definedName>
    <definedName name="Collections1">'Inputs'!$G$6</definedName>
    <definedName name="Collections2">'Inputs'!$G$7</definedName>
    <definedName name="Collections3">'Inputs'!$G$8</definedName>
    <definedName name="Depr">'Inputs'!$M$11</definedName>
    <definedName name="Dividend">'Inputs'!$M$12</definedName>
    <definedName name="LTDInt">'Inputs'!$M$15</definedName>
    <definedName name="Materials">'Inputs'!$M$10</definedName>
    <definedName name="_xlnm.Print_Area" localSheetId="1">'Inputs'!$B$2:$N$18</definedName>
    <definedName name="Purchases0">'Inputs'!$M$6</definedName>
    <definedName name="Purchases1">'Inputs'!$M$7</definedName>
    <definedName name="Purchases2">'Inputs'!$M$8</definedName>
    <definedName name="STInt">'Inputs'!$M$14</definedName>
    <definedName name="SWFixed">'Inputs'!$G$11</definedName>
    <definedName name="SWVariable">'Inputs'!$G$12</definedName>
    <definedName name="TaxRate">'Inputs'!$M$17</definedName>
  </definedNames>
  <calcPr fullCalcOnLoad="1"/>
</workbook>
</file>

<file path=xl/sharedStrings.xml><?xml version="1.0" encoding="utf-8"?>
<sst xmlns="http://schemas.openxmlformats.org/spreadsheetml/2006/main" count="2779" uniqueCount="97">
  <si>
    <t>Sales</t>
  </si>
  <si>
    <t>% collected in month of sale</t>
  </si>
  <si>
    <t>Collections</t>
  </si>
  <si>
    <t>% collected in month following sale</t>
  </si>
  <si>
    <t>% collected in 2nd month after sale</t>
  </si>
  <si>
    <t>% collected in 3rd month after sale</t>
  </si>
  <si>
    <t>Cash Account</t>
  </si>
  <si>
    <t>Minimum balance at beginning of month</t>
  </si>
  <si>
    <t>Plus % of next month's salary and wages</t>
  </si>
  <si>
    <t>Monthly interest rate on Notes Payable</t>
  </si>
  <si>
    <t>Purchases</t>
  </si>
  <si>
    <t>% of this month's predicted sales</t>
  </si>
  <si>
    <t>% of next month's predicted sales</t>
  </si>
  <si>
    <t>% of month after next predicted sales</t>
  </si>
  <si>
    <t>Average Cost of Materials as % of Sales</t>
  </si>
  <si>
    <t>Salaries and Wages</t>
  </si>
  <si>
    <t>Fixed cost per month</t>
  </si>
  <si>
    <t>Variable monthly cost as % of sales</t>
  </si>
  <si>
    <t>Depreciation rate per month as % of NFA</t>
  </si>
  <si>
    <t>Cash dividend per month</t>
  </si>
  <si>
    <t>Annual interest on long term debt</t>
  </si>
  <si>
    <t>Jan</t>
  </si>
  <si>
    <t>Feb</t>
  </si>
  <si>
    <t>Mar</t>
  </si>
  <si>
    <t>Apr</t>
  </si>
  <si>
    <t>May</t>
  </si>
  <si>
    <t>Jun</t>
  </si>
  <si>
    <t>Jul</t>
  </si>
  <si>
    <t>Aug</t>
  </si>
  <si>
    <t>Oct</t>
  </si>
  <si>
    <t>Nov</t>
  </si>
  <si>
    <t>Dec</t>
  </si>
  <si>
    <t>From current month's sales</t>
  </si>
  <si>
    <t>From sales last month</t>
  </si>
  <si>
    <t>From sales two months ago</t>
  </si>
  <si>
    <t>From sales three months ago</t>
  </si>
  <si>
    <t>Total Collections</t>
  </si>
  <si>
    <t>Tax Rate</t>
  </si>
  <si>
    <t>From this month's sales</t>
  </si>
  <si>
    <t>From next month's sales</t>
  </si>
  <si>
    <t>From sales two months out</t>
  </si>
  <si>
    <t>Total purchases</t>
  </si>
  <si>
    <t>Cash Inflows</t>
  </si>
  <si>
    <t>Cash Outflows</t>
  </si>
  <si>
    <t>Interest on Long Term Debt</t>
  </si>
  <si>
    <t>Cash Dividend</t>
  </si>
  <si>
    <t>Fixed Asset Purchase</t>
  </si>
  <si>
    <t>Taxes</t>
  </si>
  <si>
    <t>Total Cash Outflow</t>
  </si>
  <si>
    <t>Net Cash Flow</t>
  </si>
  <si>
    <t>Beginning Cash Balance</t>
  </si>
  <si>
    <t>Plus Net Cash Flow</t>
  </si>
  <si>
    <t>Minimum Acceptable Cash Account Balance</t>
  </si>
  <si>
    <t>Ending Cash Balance</t>
  </si>
  <si>
    <t xml:space="preserve">Cash Account Activity </t>
  </si>
  <si>
    <t>Cash</t>
  </si>
  <si>
    <t>Assets</t>
  </si>
  <si>
    <t>Accounts Receivable</t>
  </si>
  <si>
    <t>Inventory</t>
  </si>
  <si>
    <t>Net Fixed Assets</t>
  </si>
  <si>
    <t>Total Assets</t>
  </si>
  <si>
    <t>Liabilities &amp; Owners Equity</t>
  </si>
  <si>
    <t>Accounts Payable</t>
  </si>
  <si>
    <t>Accrued Interest</t>
  </si>
  <si>
    <t>Long-Tern Debt</t>
  </si>
  <si>
    <t>Common Stock</t>
  </si>
  <si>
    <t>Retained Earnings</t>
  </si>
  <si>
    <t>Total Liabilities &amp; Owners Equity</t>
  </si>
  <si>
    <t>Payment on Accounts Payable</t>
  </si>
  <si>
    <t>Operating Earnings</t>
  </si>
  <si>
    <t xml:space="preserve"> - Cost of Goods</t>
  </si>
  <si>
    <t xml:space="preserve"> - Salaries and Wages</t>
  </si>
  <si>
    <t xml:space="preserve"> - Depreciation</t>
  </si>
  <si>
    <t>Taxable Income</t>
  </si>
  <si>
    <t xml:space="preserve"> - Taxes</t>
  </si>
  <si>
    <t>Net Income</t>
  </si>
  <si>
    <t xml:space="preserve"> - Dividends</t>
  </si>
  <si>
    <t>Plus % of this month's A/P</t>
  </si>
  <si>
    <t>Total Cash Inflow</t>
  </si>
  <si>
    <t>Change in ST Investments</t>
  </si>
  <si>
    <t>INPUTS</t>
  </si>
  <si>
    <t>Net Sales</t>
  </si>
  <si>
    <t>Solution to Problem C1 Chapter 22 (Emery/Finnerty)</t>
  </si>
  <si>
    <t>Cash Budget</t>
  </si>
  <si>
    <t>Balance Sheet</t>
  </si>
  <si>
    <t>Income Statement</t>
  </si>
  <si>
    <t xml:space="preserve">ST Investments </t>
  </si>
  <si>
    <t>ST Loans</t>
  </si>
  <si>
    <t>Cumulative Cash Excess(Shortfall)</t>
  </si>
  <si>
    <t>Interest Rec'd on ST Investments</t>
  </si>
  <si>
    <t>Interest on Short Term Debt</t>
  </si>
  <si>
    <t xml:space="preserve"> + Int Income on ST Investments</t>
  </si>
  <si>
    <t xml:space="preserve"> + Int Expense on ST Debt</t>
  </si>
  <si>
    <t xml:space="preserve"> - Interest Expense on LTD</t>
  </si>
  <si>
    <t xml:space="preserve"> - Int Expense on ST Debt</t>
  </si>
  <si>
    <t>Instructions</t>
  </si>
  <si>
    <t>Cash Budget and Pro Forma Financial Statement Model Speadsheet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</si>
</sst>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14">
    <font>
      <sz val="10"/>
      <name val="Arial"/>
      <family val="0"/>
    </font>
    <font>
      <sz val="8"/>
      <name val="Arial"/>
      <family val="0"/>
    </font>
    <font>
      <sz val="10"/>
      <color indexed="10"/>
      <name val="Arial"/>
      <family val="0"/>
    </font>
    <font>
      <u val="singleAccounting"/>
      <sz val="10"/>
      <name val="Arial"/>
      <family val="0"/>
    </font>
    <font>
      <u val="single"/>
      <sz val="10"/>
      <color indexed="12"/>
      <name val="Arial"/>
      <family val="0"/>
    </font>
    <font>
      <u val="single"/>
      <sz val="10"/>
      <color indexed="36"/>
      <name val="Arial"/>
      <family val="0"/>
    </font>
    <font>
      <b/>
      <sz val="10"/>
      <name val="Arial"/>
      <family val="2"/>
    </font>
    <font>
      <b/>
      <u val="singleAccounting"/>
      <sz val="10"/>
      <name val="Arial"/>
      <family val="2"/>
    </font>
    <font>
      <b/>
      <sz val="10"/>
      <color indexed="9"/>
      <name val="Arial"/>
      <family val="2"/>
    </font>
    <font>
      <b/>
      <sz val="12"/>
      <color indexed="9"/>
      <name val="Arial"/>
      <family val="2"/>
    </font>
    <font>
      <b/>
      <sz val="14"/>
      <color indexed="9"/>
      <name val="Arial"/>
      <family val="2"/>
    </font>
    <font>
      <sz val="12"/>
      <color indexed="8"/>
      <name val="Arial"/>
      <family val="2"/>
    </font>
    <font>
      <b/>
      <sz val="12"/>
      <name val="Arial"/>
      <family val="2"/>
    </font>
    <font>
      <b/>
      <sz val="14"/>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18"/>
        <bgColor indexed="64"/>
      </patternFill>
    </fill>
  </fills>
  <borders count="16">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43" fontId="0" fillId="0" borderId="0" xfId="0" applyNumberFormat="1" applyAlignment="1">
      <alignment/>
    </xf>
    <xf numFmtId="43" fontId="2" fillId="0" borderId="0" xfId="0" applyNumberFormat="1" applyFont="1" applyAlignment="1">
      <alignment/>
    </xf>
    <xf numFmtId="43" fontId="3" fillId="0" borderId="0" xfId="0" applyNumberFormat="1" applyFont="1" applyAlignment="1">
      <alignment/>
    </xf>
    <xf numFmtId="43" fontId="6" fillId="0" borderId="0" xfId="0" applyNumberFormat="1" applyFont="1" applyAlignment="1">
      <alignment/>
    </xf>
    <xf numFmtId="43" fontId="0" fillId="0" borderId="1" xfId="0" applyNumberFormat="1" applyBorder="1" applyAlignment="1">
      <alignment/>
    </xf>
    <xf numFmtId="0" fontId="6" fillId="0" borderId="0" xfId="0" applyFont="1" applyAlignment="1">
      <alignment/>
    </xf>
    <xf numFmtId="0" fontId="0" fillId="0" borderId="0" xfId="0" applyAlignment="1">
      <alignment vertical="center"/>
    </xf>
    <xf numFmtId="0" fontId="0" fillId="2" borderId="2" xfId="0" applyFill="1" applyBorder="1" applyAlignment="1">
      <alignment/>
    </xf>
    <xf numFmtId="0" fontId="6" fillId="2" borderId="3" xfId="0" applyFont="1"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6" fillId="2" borderId="0" xfId="0" applyFont="1" applyFill="1" applyBorder="1" applyAlignment="1">
      <alignment/>
    </xf>
    <xf numFmtId="0" fontId="0" fillId="2" borderId="0" xfId="0" applyFill="1" applyBorder="1" applyAlignment="1">
      <alignment/>
    </xf>
    <xf numFmtId="0" fontId="0" fillId="2" borderId="6" xfId="0" applyFill="1" applyBorder="1" applyAlignment="1">
      <alignment/>
    </xf>
    <xf numFmtId="0" fontId="2" fillId="2" borderId="0" xfId="0" applyFont="1" applyFill="1" applyBorder="1" applyAlignment="1">
      <alignment/>
    </xf>
    <xf numFmtId="0" fontId="0" fillId="2" borderId="7" xfId="0" applyFill="1" applyBorder="1" applyAlignment="1">
      <alignment/>
    </xf>
    <xf numFmtId="0" fontId="6" fillId="2" borderId="1" xfId="0" applyFont="1" applyFill="1" applyBorder="1" applyAlignment="1">
      <alignment/>
    </xf>
    <xf numFmtId="0" fontId="0" fillId="2" borderId="1" xfId="0" applyFill="1" applyBorder="1" applyAlignment="1">
      <alignment/>
    </xf>
    <xf numFmtId="0" fontId="0" fillId="2" borderId="8" xfId="0" applyFill="1" applyBorder="1" applyAlignment="1">
      <alignment/>
    </xf>
    <xf numFmtId="43" fontId="0" fillId="0" borderId="0" xfId="0" applyNumberFormat="1" applyBorder="1" applyAlignment="1">
      <alignment/>
    </xf>
    <xf numFmtId="43" fontId="2" fillId="0" borderId="0" xfId="0" applyNumberFormat="1" applyFont="1" applyBorder="1" applyAlignment="1">
      <alignment/>
    </xf>
    <xf numFmtId="43" fontId="3" fillId="0" borderId="0" xfId="0" applyNumberFormat="1" applyFont="1" applyBorder="1" applyAlignment="1">
      <alignment/>
    </xf>
    <xf numFmtId="9" fontId="2" fillId="3" borderId="9" xfId="21" applyFont="1" applyFill="1" applyBorder="1" applyAlignment="1">
      <alignment/>
    </xf>
    <xf numFmtId="9" fontId="2" fillId="3" borderId="10" xfId="21" applyFont="1" applyFill="1" applyBorder="1" applyAlignment="1">
      <alignment/>
    </xf>
    <xf numFmtId="9" fontId="2" fillId="3" borderId="11" xfId="21" applyFont="1" applyFill="1" applyBorder="1" applyAlignment="1">
      <alignment/>
    </xf>
    <xf numFmtId="165" fontId="2" fillId="3" borderId="9" xfId="17" applyNumberFormat="1" applyFont="1" applyFill="1" applyBorder="1" applyAlignment="1">
      <alignment/>
    </xf>
    <xf numFmtId="9" fontId="2" fillId="3" borderId="11" xfId="0" applyNumberFormat="1" applyFont="1" applyFill="1" applyBorder="1" applyAlignment="1">
      <alignment/>
    </xf>
    <xf numFmtId="9" fontId="2" fillId="3" borderId="10" xfId="0" applyNumberFormat="1" applyFont="1" applyFill="1" applyBorder="1" applyAlignment="1">
      <alignment/>
    </xf>
    <xf numFmtId="9" fontId="2" fillId="3" borderId="9" xfId="0" applyNumberFormat="1" applyFont="1" applyFill="1" applyBorder="1" applyAlignment="1">
      <alignment/>
    </xf>
    <xf numFmtId="10" fontId="2" fillId="3" borderId="10" xfId="0" applyNumberFormat="1" applyFont="1" applyFill="1" applyBorder="1" applyAlignment="1">
      <alignment/>
    </xf>
    <xf numFmtId="6" fontId="2" fillId="3" borderId="11" xfId="0" applyNumberFormat="1" applyFont="1" applyFill="1" applyBorder="1" applyAlignment="1">
      <alignment/>
    </xf>
    <xf numFmtId="10" fontId="2" fillId="3" borderId="9" xfId="0" applyNumberFormat="1" applyFont="1" applyFill="1" applyBorder="1" applyAlignment="1">
      <alignment/>
    </xf>
    <xf numFmtId="9" fontId="2" fillId="3" borderId="12" xfId="0" applyNumberFormat="1" applyFont="1" applyFill="1" applyBorder="1" applyAlignment="1">
      <alignment/>
    </xf>
    <xf numFmtId="43" fontId="6" fillId="0" borderId="5" xfId="0" applyNumberFormat="1" applyFont="1" applyBorder="1" applyAlignment="1">
      <alignment/>
    </xf>
    <xf numFmtId="43" fontId="0" fillId="0" borderId="6" xfId="0" applyNumberFormat="1" applyBorder="1" applyAlignment="1">
      <alignment/>
    </xf>
    <xf numFmtId="43" fontId="7" fillId="0" borderId="0" xfId="0" applyNumberFormat="1" applyFont="1" applyBorder="1" applyAlignment="1">
      <alignment horizontal="center"/>
    </xf>
    <xf numFmtId="43" fontId="7" fillId="0" borderId="6" xfId="0" applyNumberFormat="1" applyFont="1" applyBorder="1" applyAlignment="1">
      <alignment horizontal="center"/>
    </xf>
    <xf numFmtId="43" fontId="2" fillId="0" borderId="6" xfId="0" applyNumberFormat="1" applyFont="1" applyBorder="1" applyAlignment="1">
      <alignment/>
    </xf>
    <xf numFmtId="43" fontId="3" fillId="0" borderId="6" xfId="0" applyNumberFormat="1" applyFont="1" applyBorder="1" applyAlignment="1">
      <alignment/>
    </xf>
    <xf numFmtId="43" fontId="6" fillId="0" borderId="7" xfId="0" applyNumberFormat="1" applyFont="1" applyBorder="1" applyAlignment="1">
      <alignment/>
    </xf>
    <xf numFmtId="43" fontId="0" fillId="0" borderId="8" xfId="0" applyNumberFormat="1" applyBorder="1" applyAlignment="1">
      <alignment/>
    </xf>
    <xf numFmtId="43" fontId="0" fillId="0" borderId="0" xfId="0" applyNumberFormat="1" applyFont="1" applyBorder="1" applyAlignment="1">
      <alignment/>
    </xf>
    <xf numFmtId="0" fontId="12" fillId="0" borderId="0" xfId="0" applyFont="1" applyAlignment="1">
      <alignment horizontal="center"/>
    </xf>
    <xf numFmtId="0" fontId="13" fillId="0" borderId="0" xfId="0" applyFont="1" applyAlignment="1">
      <alignment horizont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43" fontId="9" fillId="4" borderId="13" xfId="0" applyNumberFormat="1" applyFont="1" applyFill="1" applyBorder="1" applyAlignment="1">
      <alignment horizontal="center" vertical="center"/>
    </xf>
    <xf numFmtId="43" fontId="9" fillId="4" borderId="14" xfId="0" applyNumberFormat="1" applyFont="1" applyFill="1" applyBorder="1" applyAlignment="1">
      <alignment horizontal="center" vertical="center"/>
    </xf>
    <xf numFmtId="43" fontId="9" fillId="4" borderId="15" xfId="0" applyNumberFormat="1" applyFont="1" applyFill="1" applyBorder="1" applyAlignment="1">
      <alignment horizontal="center" vertical="center"/>
    </xf>
    <xf numFmtId="43" fontId="10" fillId="4" borderId="2" xfId="0" applyNumberFormat="1" applyFont="1" applyFill="1" applyBorder="1" applyAlignment="1">
      <alignment horizontal="center" vertical="center"/>
    </xf>
    <xf numFmtId="43" fontId="10" fillId="4" borderId="3" xfId="0" applyNumberFormat="1" applyFont="1" applyFill="1" applyBorder="1" applyAlignment="1">
      <alignment horizontal="center" vertical="center"/>
    </xf>
    <xf numFmtId="43" fontId="10" fillId="4" borderId="4"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76200</xdr:rowOff>
    </xdr:from>
    <xdr:to>
      <xdr:col>9</xdr:col>
      <xdr:colOff>409575</xdr:colOff>
      <xdr:row>35</xdr:row>
      <xdr:rowOff>28575</xdr:rowOff>
    </xdr:to>
    <xdr:sp>
      <xdr:nvSpPr>
        <xdr:cNvPr id="1" name="Rectangle 1"/>
        <xdr:cNvSpPr>
          <a:spLocks/>
        </xdr:cNvSpPr>
      </xdr:nvSpPr>
      <xdr:spPr>
        <a:xfrm>
          <a:off x="381000" y="1028700"/>
          <a:ext cx="5514975" cy="4648200"/>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8</xdr:row>
      <xdr:rowOff>28575</xdr:rowOff>
    </xdr:from>
    <xdr:to>
      <xdr:col>8</xdr:col>
      <xdr:colOff>400050</xdr:colOff>
      <xdr:row>33</xdr:row>
      <xdr:rowOff>114300</xdr:rowOff>
    </xdr:to>
    <xdr:sp>
      <xdr:nvSpPr>
        <xdr:cNvPr id="2" name="TextBox 3"/>
        <xdr:cNvSpPr txBox="1">
          <a:spLocks noChangeArrowheads="1"/>
        </xdr:cNvSpPr>
      </xdr:nvSpPr>
      <xdr:spPr>
        <a:xfrm>
          <a:off x="923925" y="1304925"/>
          <a:ext cx="4352925" cy="4133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We will use this framework to build the financial statements step by step. We will start with the cash budget, because everything else depends on it. 
Here's how this works. You have this spreadsheet open, so note that there are many numbered tabbed pages in this workbook. Each one contains instructions on the next step needed to build the model. 
Now open another instance of Excel, and open the spreadsheet named CH22PrC1-Work.xls. It contains just this page and the INPUTS page. Do all of your work in that spreadsheet, using the instructions and check figures from this spreadsheet. You can switch back and forth to see them, or size the two windows so you can see both at the same time.
When you have completed all of the steps, you will have a powerful model that will work for any reasonable values of the inputs.
Start on tabbed page #1 -- after the INPUTS page.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58</xdr:row>
      <xdr:rowOff>85725</xdr:rowOff>
    </xdr:from>
    <xdr:to>
      <xdr:col>13</xdr:col>
      <xdr:colOff>266700</xdr:colOff>
      <xdr:row>67</xdr:row>
      <xdr:rowOff>76200</xdr:rowOff>
    </xdr:to>
    <xdr:sp>
      <xdr:nvSpPr>
        <xdr:cNvPr id="1" name="AutoShape 1"/>
        <xdr:cNvSpPr>
          <a:spLocks/>
        </xdr:cNvSpPr>
      </xdr:nvSpPr>
      <xdr:spPr>
        <a:xfrm>
          <a:off x="4829175" y="9801225"/>
          <a:ext cx="3800475" cy="1571625"/>
        </a:xfrm>
        <a:prstGeom prst="wedgeRoundRectCallout">
          <a:avLst>
            <a:gd name="adj1" fmla="val -60157"/>
            <a:gd name="adj2" fmla="val -4905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59</xdr:row>
      <xdr:rowOff>19050</xdr:rowOff>
    </xdr:from>
    <xdr:to>
      <xdr:col>12</xdr:col>
      <xdr:colOff>495300</xdr:colOff>
      <xdr:row>66</xdr:row>
      <xdr:rowOff>238125</xdr:rowOff>
    </xdr:to>
    <xdr:sp>
      <xdr:nvSpPr>
        <xdr:cNvPr id="2" name="TextBox 3"/>
        <xdr:cNvSpPr txBox="1">
          <a:spLocks noChangeArrowheads="1"/>
        </xdr:cNvSpPr>
      </xdr:nvSpPr>
      <xdr:spPr>
        <a:xfrm>
          <a:off x="5162550" y="9896475"/>
          <a:ext cx="3086100" cy="129540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Onward to the Balance Sheet! You'll need to wait to do the assets until the income statement is done. Accounts payable will be the balance from last month plus purchases less payments on accounts payable.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62</xdr:row>
      <xdr:rowOff>28575</xdr:rowOff>
    </xdr:from>
    <xdr:to>
      <xdr:col>13</xdr:col>
      <xdr:colOff>257175</xdr:colOff>
      <xdr:row>70</xdr:row>
      <xdr:rowOff>161925</xdr:rowOff>
    </xdr:to>
    <xdr:sp>
      <xdr:nvSpPr>
        <xdr:cNvPr id="1" name="AutoShape 1"/>
        <xdr:cNvSpPr>
          <a:spLocks/>
        </xdr:cNvSpPr>
      </xdr:nvSpPr>
      <xdr:spPr>
        <a:xfrm>
          <a:off x="4819650" y="10391775"/>
          <a:ext cx="3800475" cy="1581150"/>
        </a:xfrm>
        <a:prstGeom prst="wedgeRoundRectCallout">
          <a:avLst>
            <a:gd name="adj1" fmla="val -59375"/>
            <a:gd name="adj2" fmla="val -68009"/>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628650</xdr:colOff>
      <xdr:row>62</xdr:row>
      <xdr:rowOff>152400</xdr:rowOff>
    </xdr:from>
    <xdr:to>
      <xdr:col>12</xdr:col>
      <xdr:colOff>390525</xdr:colOff>
      <xdr:row>70</xdr:row>
      <xdr:rowOff>0</xdr:rowOff>
    </xdr:to>
    <xdr:sp>
      <xdr:nvSpPr>
        <xdr:cNvPr id="2" name="TextBox 3"/>
        <xdr:cNvSpPr txBox="1">
          <a:spLocks noChangeArrowheads="1"/>
        </xdr:cNvSpPr>
      </xdr:nvSpPr>
      <xdr:spPr>
        <a:xfrm>
          <a:off x="5067300" y="10515600"/>
          <a:ext cx="3076575" cy="129540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Short-term loans will need to wait. Accrued interest is the cumulative interest that is owed on long-term debt but that has not yet been paid.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68</xdr:row>
      <xdr:rowOff>142875</xdr:rowOff>
    </xdr:from>
    <xdr:to>
      <xdr:col>13</xdr:col>
      <xdr:colOff>314325</xdr:colOff>
      <xdr:row>79</xdr:row>
      <xdr:rowOff>85725</xdr:rowOff>
    </xdr:to>
    <xdr:sp>
      <xdr:nvSpPr>
        <xdr:cNvPr id="1" name="AutoShape 1"/>
        <xdr:cNvSpPr>
          <a:spLocks/>
        </xdr:cNvSpPr>
      </xdr:nvSpPr>
      <xdr:spPr>
        <a:xfrm>
          <a:off x="4867275" y="11630025"/>
          <a:ext cx="3810000" cy="1838325"/>
        </a:xfrm>
        <a:prstGeom prst="wedgeRoundRectCallout">
          <a:avLst>
            <a:gd name="adj1" fmla="val -59375"/>
            <a:gd name="adj2" fmla="val -65509"/>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69</xdr:row>
      <xdr:rowOff>104775</xdr:rowOff>
    </xdr:from>
    <xdr:to>
      <xdr:col>12</xdr:col>
      <xdr:colOff>590550</xdr:colOff>
      <xdr:row>78</xdr:row>
      <xdr:rowOff>38100</xdr:rowOff>
    </xdr:to>
    <xdr:sp>
      <xdr:nvSpPr>
        <xdr:cNvPr id="2" name="TextBox 2"/>
        <xdr:cNvSpPr txBox="1">
          <a:spLocks noChangeArrowheads="1"/>
        </xdr:cNvSpPr>
      </xdr:nvSpPr>
      <xdr:spPr>
        <a:xfrm>
          <a:off x="5267325" y="11753850"/>
          <a:ext cx="3076575" cy="14763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Now for the income statement. Net sales equals gross sales less the allowance for bad debts to account for uncollectable sales. You had inputs for the percentages of sales that would be collected in the months after the sale. Note that those percentages do not add up to 1.00. The remainder must be the percentage of sales that is never collected.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70</xdr:row>
      <xdr:rowOff>161925</xdr:rowOff>
    </xdr:from>
    <xdr:to>
      <xdr:col>13</xdr:col>
      <xdr:colOff>314325</xdr:colOff>
      <xdr:row>82</xdr:row>
      <xdr:rowOff>0</xdr:rowOff>
    </xdr:to>
    <xdr:sp>
      <xdr:nvSpPr>
        <xdr:cNvPr id="1" name="AutoShape 1"/>
        <xdr:cNvSpPr>
          <a:spLocks/>
        </xdr:cNvSpPr>
      </xdr:nvSpPr>
      <xdr:spPr>
        <a:xfrm>
          <a:off x="4867275" y="11972925"/>
          <a:ext cx="3810000" cy="1819275"/>
        </a:xfrm>
        <a:prstGeom prst="wedgeRoundRectCallout">
          <a:avLst>
            <a:gd name="adj1" fmla="val -61134"/>
            <a:gd name="adj2" fmla="val -70407"/>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71</xdr:row>
      <xdr:rowOff>142875</xdr:rowOff>
    </xdr:from>
    <xdr:to>
      <xdr:col>12</xdr:col>
      <xdr:colOff>590550</xdr:colOff>
      <xdr:row>80</xdr:row>
      <xdr:rowOff>66675</xdr:rowOff>
    </xdr:to>
    <xdr:sp>
      <xdr:nvSpPr>
        <xdr:cNvPr id="2" name="TextBox 2"/>
        <xdr:cNvSpPr txBox="1">
          <a:spLocks noChangeArrowheads="1"/>
        </xdr:cNvSpPr>
      </xdr:nvSpPr>
      <xdr:spPr>
        <a:xfrm>
          <a:off x="5267325" y="12144375"/>
          <a:ext cx="3076575" cy="1466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CGS will be Sales for this period times the average cost of materials figure from the INPUTS page.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70</xdr:row>
      <xdr:rowOff>9525</xdr:rowOff>
    </xdr:from>
    <xdr:to>
      <xdr:col>13</xdr:col>
      <xdr:colOff>209550</xdr:colOff>
      <xdr:row>81</xdr:row>
      <xdr:rowOff>19050</xdr:rowOff>
    </xdr:to>
    <xdr:sp>
      <xdr:nvSpPr>
        <xdr:cNvPr id="1" name="AutoShape 1"/>
        <xdr:cNvSpPr>
          <a:spLocks/>
        </xdr:cNvSpPr>
      </xdr:nvSpPr>
      <xdr:spPr>
        <a:xfrm>
          <a:off x="4762500" y="11820525"/>
          <a:ext cx="3810000" cy="1828800"/>
        </a:xfrm>
        <a:prstGeom prst="wedgeRoundRectCallout">
          <a:avLst>
            <a:gd name="adj1" fmla="val -58009"/>
            <a:gd name="adj2" fmla="val -4591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70</xdr:row>
      <xdr:rowOff>161925</xdr:rowOff>
    </xdr:from>
    <xdr:to>
      <xdr:col>12</xdr:col>
      <xdr:colOff>428625</xdr:colOff>
      <xdr:row>79</xdr:row>
      <xdr:rowOff>66675</xdr:rowOff>
    </xdr:to>
    <xdr:sp>
      <xdr:nvSpPr>
        <xdr:cNvPr id="2" name="TextBox 2"/>
        <xdr:cNvSpPr txBox="1">
          <a:spLocks noChangeArrowheads="1"/>
        </xdr:cNvSpPr>
      </xdr:nvSpPr>
      <xdr:spPr>
        <a:xfrm>
          <a:off x="5095875" y="11972925"/>
          <a:ext cx="3086100" cy="14763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Salaries and wages were computed in the cash budget. Depreciation is computed as a percentage (given on the INPUTS page) of net fixed assets at the beginning of the month (which is the end of the previous month). Net Fixes Assets has not been completed yet, but you can still do a formula that refers to the cells.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70</xdr:row>
      <xdr:rowOff>161925</xdr:rowOff>
    </xdr:from>
    <xdr:to>
      <xdr:col>13</xdr:col>
      <xdr:colOff>314325</xdr:colOff>
      <xdr:row>82</xdr:row>
      <xdr:rowOff>0</xdr:rowOff>
    </xdr:to>
    <xdr:sp>
      <xdr:nvSpPr>
        <xdr:cNvPr id="1" name="AutoShape 1"/>
        <xdr:cNvSpPr>
          <a:spLocks/>
        </xdr:cNvSpPr>
      </xdr:nvSpPr>
      <xdr:spPr>
        <a:xfrm>
          <a:off x="4867275" y="11972925"/>
          <a:ext cx="3810000" cy="1819275"/>
        </a:xfrm>
        <a:prstGeom prst="wedgeRoundRectCallout">
          <a:avLst>
            <a:gd name="adj1" fmla="val -60157"/>
            <a:gd name="adj2" fmla="val -3653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72</xdr:row>
      <xdr:rowOff>0</xdr:rowOff>
    </xdr:from>
    <xdr:to>
      <xdr:col>13</xdr:col>
      <xdr:colOff>28575</xdr:colOff>
      <xdr:row>81</xdr:row>
      <xdr:rowOff>9525</xdr:rowOff>
    </xdr:to>
    <xdr:sp>
      <xdr:nvSpPr>
        <xdr:cNvPr id="2" name="TextBox 4"/>
        <xdr:cNvSpPr txBox="1">
          <a:spLocks noChangeArrowheads="1"/>
        </xdr:cNvSpPr>
      </xdr:nvSpPr>
      <xdr:spPr>
        <a:xfrm>
          <a:off x="5305425" y="12163425"/>
          <a:ext cx="3086100" cy="14763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Interest on the long-term debt will be a percentage (given on the INPUTS page) of the balance on the long term debt at the beginning of the period (which is the end of the previous period. (Yes, I know that the debt balance doesn't change, but your situation may be different so this is good practive.)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67</xdr:row>
      <xdr:rowOff>114300</xdr:rowOff>
    </xdr:from>
    <xdr:to>
      <xdr:col>13</xdr:col>
      <xdr:colOff>228600</xdr:colOff>
      <xdr:row>82</xdr:row>
      <xdr:rowOff>85725</xdr:rowOff>
    </xdr:to>
    <xdr:sp>
      <xdr:nvSpPr>
        <xdr:cNvPr id="1" name="AutoShape 1"/>
        <xdr:cNvSpPr>
          <a:spLocks/>
        </xdr:cNvSpPr>
      </xdr:nvSpPr>
      <xdr:spPr>
        <a:xfrm>
          <a:off x="4791075" y="11410950"/>
          <a:ext cx="3800475" cy="2466975"/>
        </a:xfrm>
        <a:prstGeom prst="wedgeRoundRectCallout">
          <a:avLst>
            <a:gd name="adj1" fmla="val -60546"/>
            <a:gd name="adj2" fmla="val -585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68</xdr:row>
      <xdr:rowOff>114300</xdr:rowOff>
    </xdr:from>
    <xdr:to>
      <xdr:col>12</xdr:col>
      <xdr:colOff>590550</xdr:colOff>
      <xdr:row>80</xdr:row>
      <xdr:rowOff>66675</xdr:rowOff>
    </xdr:to>
    <xdr:sp>
      <xdr:nvSpPr>
        <xdr:cNvPr id="2" name="TextBox 2"/>
        <xdr:cNvSpPr txBox="1">
          <a:spLocks noChangeArrowheads="1"/>
        </xdr:cNvSpPr>
      </xdr:nvSpPr>
      <xdr:spPr>
        <a:xfrm>
          <a:off x="5267325" y="11601450"/>
          <a:ext cx="3076575" cy="20097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Interest income and expense on the short term investements and short term debt use a percentage from the INPUTS page and beginning balance for the period on the balance sheet. This formulas have not been completed yet, but you can still create a formula here. You will need to make the formula for income on ST investments negative so it will be added instead of subtracted in the taxable income formula.</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69</xdr:row>
      <xdr:rowOff>28575</xdr:rowOff>
    </xdr:from>
    <xdr:to>
      <xdr:col>13</xdr:col>
      <xdr:colOff>447675</xdr:colOff>
      <xdr:row>79</xdr:row>
      <xdr:rowOff>123825</xdr:rowOff>
    </xdr:to>
    <xdr:sp>
      <xdr:nvSpPr>
        <xdr:cNvPr id="1" name="AutoShape 1"/>
        <xdr:cNvSpPr>
          <a:spLocks/>
        </xdr:cNvSpPr>
      </xdr:nvSpPr>
      <xdr:spPr>
        <a:xfrm>
          <a:off x="5000625" y="11677650"/>
          <a:ext cx="3810000" cy="1828800"/>
        </a:xfrm>
        <a:prstGeom prst="wedgeRoundRectCallout">
          <a:avLst>
            <a:gd name="adj1" fmla="val -64842"/>
            <a:gd name="adj2" fmla="val 1816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70</xdr:row>
      <xdr:rowOff>47625</xdr:rowOff>
    </xdr:from>
    <xdr:to>
      <xdr:col>13</xdr:col>
      <xdr:colOff>19050</xdr:colOff>
      <xdr:row>78</xdr:row>
      <xdr:rowOff>142875</xdr:rowOff>
    </xdr:to>
    <xdr:sp>
      <xdr:nvSpPr>
        <xdr:cNvPr id="2" name="TextBox 2"/>
        <xdr:cNvSpPr txBox="1">
          <a:spLocks noChangeArrowheads="1"/>
        </xdr:cNvSpPr>
      </xdr:nvSpPr>
      <xdr:spPr>
        <a:xfrm>
          <a:off x="5295900" y="11858625"/>
          <a:ext cx="3086100" cy="14763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The tax rate is given on the INPUTS page. Assume that taxes are incurred at that rate each month.</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55</xdr:row>
      <xdr:rowOff>38100</xdr:rowOff>
    </xdr:from>
    <xdr:to>
      <xdr:col>13</xdr:col>
      <xdr:colOff>104775</xdr:colOff>
      <xdr:row>66</xdr:row>
      <xdr:rowOff>200025</xdr:rowOff>
    </xdr:to>
    <xdr:sp>
      <xdr:nvSpPr>
        <xdr:cNvPr id="1" name="AutoShape 1"/>
        <xdr:cNvSpPr>
          <a:spLocks/>
        </xdr:cNvSpPr>
      </xdr:nvSpPr>
      <xdr:spPr>
        <a:xfrm>
          <a:off x="4657725" y="9334500"/>
          <a:ext cx="3810000" cy="1819275"/>
        </a:xfrm>
        <a:prstGeom prst="wedgeRoundRectCallout">
          <a:avLst>
            <a:gd name="adj1" fmla="val -9962"/>
            <a:gd name="adj2" fmla="val 6265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56</xdr:row>
      <xdr:rowOff>57150</xdr:rowOff>
    </xdr:from>
    <xdr:to>
      <xdr:col>12</xdr:col>
      <xdr:colOff>352425</xdr:colOff>
      <xdr:row>66</xdr:row>
      <xdr:rowOff>28575</xdr:rowOff>
    </xdr:to>
    <xdr:sp>
      <xdr:nvSpPr>
        <xdr:cNvPr id="2" name="TextBox 2"/>
        <xdr:cNvSpPr txBox="1">
          <a:spLocks noChangeArrowheads="1"/>
        </xdr:cNvSpPr>
      </xdr:nvSpPr>
      <xdr:spPr>
        <a:xfrm>
          <a:off x="5019675" y="9515475"/>
          <a:ext cx="3086100" cy="1466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Now you can copy January's formulas to the other months.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49</xdr:row>
      <xdr:rowOff>85725</xdr:rowOff>
    </xdr:from>
    <xdr:to>
      <xdr:col>13</xdr:col>
      <xdr:colOff>161925</xdr:colOff>
      <xdr:row>60</xdr:row>
      <xdr:rowOff>95250</xdr:rowOff>
    </xdr:to>
    <xdr:sp>
      <xdr:nvSpPr>
        <xdr:cNvPr id="1" name="AutoShape 1"/>
        <xdr:cNvSpPr>
          <a:spLocks/>
        </xdr:cNvSpPr>
      </xdr:nvSpPr>
      <xdr:spPr>
        <a:xfrm>
          <a:off x="4724400" y="8324850"/>
          <a:ext cx="3800475" cy="1809750"/>
        </a:xfrm>
        <a:prstGeom prst="wedgeRoundRectCallout">
          <a:avLst>
            <a:gd name="adj1" fmla="val -55078"/>
            <a:gd name="adj2" fmla="val 73263"/>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50</xdr:row>
      <xdr:rowOff>9525</xdr:rowOff>
    </xdr:from>
    <xdr:to>
      <xdr:col>12</xdr:col>
      <xdr:colOff>352425</xdr:colOff>
      <xdr:row>59</xdr:row>
      <xdr:rowOff>47625</xdr:rowOff>
    </xdr:to>
    <xdr:sp>
      <xdr:nvSpPr>
        <xdr:cNvPr id="2" name="TextBox 2"/>
        <xdr:cNvSpPr txBox="1">
          <a:spLocks noChangeArrowheads="1"/>
        </xdr:cNvSpPr>
      </xdr:nvSpPr>
      <xdr:spPr>
        <a:xfrm>
          <a:off x="5029200" y="8467725"/>
          <a:ext cx="3076575" cy="145732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Back to the balance sheet. Retained earnings is the previous month's balance plus this month's retained earnings from the income statement.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6</xdr:row>
      <xdr:rowOff>9525</xdr:rowOff>
    </xdr:from>
    <xdr:to>
      <xdr:col>11</xdr:col>
      <xdr:colOff>561975</xdr:colOff>
      <xdr:row>32</xdr:row>
      <xdr:rowOff>19050</xdr:rowOff>
    </xdr:to>
    <xdr:sp>
      <xdr:nvSpPr>
        <xdr:cNvPr id="1" name="Rectangle 1"/>
        <xdr:cNvSpPr>
          <a:spLocks/>
        </xdr:cNvSpPr>
      </xdr:nvSpPr>
      <xdr:spPr>
        <a:xfrm>
          <a:off x="4171950" y="1133475"/>
          <a:ext cx="3495675" cy="4314825"/>
        </a:xfrm>
        <a:prstGeom prst="round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695325</xdr:colOff>
      <xdr:row>7</xdr:row>
      <xdr:rowOff>19050</xdr:rowOff>
    </xdr:from>
    <xdr:to>
      <xdr:col>11</xdr:col>
      <xdr:colOff>276225</xdr:colOff>
      <xdr:row>30</xdr:row>
      <xdr:rowOff>38100</xdr:rowOff>
    </xdr:to>
    <xdr:sp>
      <xdr:nvSpPr>
        <xdr:cNvPr id="2" name="TextBox 2"/>
        <xdr:cNvSpPr txBox="1">
          <a:spLocks noChangeArrowheads="1"/>
        </xdr:cNvSpPr>
      </xdr:nvSpPr>
      <xdr:spPr>
        <a:xfrm>
          <a:off x="4429125" y="1304925"/>
          <a:ext cx="2952750" cy="38385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This is the starting point. In addition to this spreadsheet, you should have the spreadsheet CH22P2C1-Work.xls open as well. Follow the instructions on the tabbed pages in this spreadsheet, but do you work in CH22PrC1-Work.
The instructions for the first step are on the next tabbed page.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49</xdr:row>
      <xdr:rowOff>85725</xdr:rowOff>
    </xdr:from>
    <xdr:to>
      <xdr:col>13</xdr:col>
      <xdr:colOff>161925</xdr:colOff>
      <xdr:row>60</xdr:row>
      <xdr:rowOff>95250</xdr:rowOff>
    </xdr:to>
    <xdr:sp>
      <xdr:nvSpPr>
        <xdr:cNvPr id="1" name="AutoShape 1"/>
        <xdr:cNvSpPr>
          <a:spLocks/>
        </xdr:cNvSpPr>
      </xdr:nvSpPr>
      <xdr:spPr>
        <a:xfrm>
          <a:off x="4724400" y="8324850"/>
          <a:ext cx="3800475" cy="1809750"/>
        </a:xfrm>
        <a:prstGeom prst="wedgeRoundRectCallout">
          <a:avLst>
            <a:gd name="adj1" fmla="val -57226"/>
            <a:gd name="adj2" fmla="val -265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50</xdr:row>
      <xdr:rowOff>9525</xdr:rowOff>
    </xdr:from>
    <xdr:to>
      <xdr:col>12</xdr:col>
      <xdr:colOff>352425</xdr:colOff>
      <xdr:row>59</xdr:row>
      <xdr:rowOff>47625</xdr:rowOff>
    </xdr:to>
    <xdr:sp>
      <xdr:nvSpPr>
        <xdr:cNvPr id="2" name="TextBox 2"/>
        <xdr:cNvSpPr txBox="1">
          <a:spLocks noChangeArrowheads="1"/>
        </xdr:cNvSpPr>
      </xdr:nvSpPr>
      <xdr:spPr>
        <a:xfrm>
          <a:off x="5029200" y="8467725"/>
          <a:ext cx="3076575" cy="145732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Net fixed assets will be the previous month's balance minus this month's depreciation, plus any new asset purchases.</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55</xdr:row>
      <xdr:rowOff>114300</xdr:rowOff>
    </xdr:from>
    <xdr:to>
      <xdr:col>13</xdr:col>
      <xdr:colOff>104775</xdr:colOff>
      <xdr:row>66</xdr:row>
      <xdr:rowOff>276225</xdr:rowOff>
    </xdr:to>
    <xdr:sp>
      <xdr:nvSpPr>
        <xdr:cNvPr id="1" name="AutoShape 1"/>
        <xdr:cNvSpPr>
          <a:spLocks/>
        </xdr:cNvSpPr>
      </xdr:nvSpPr>
      <xdr:spPr>
        <a:xfrm>
          <a:off x="4657725" y="9410700"/>
          <a:ext cx="3810000" cy="1819275"/>
        </a:xfrm>
        <a:prstGeom prst="wedgeRoundRectCallout">
          <a:avLst>
            <a:gd name="adj1" fmla="val -55467"/>
            <a:gd name="adj2" fmla="val -70814"/>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57</xdr:row>
      <xdr:rowOff>28575</xdr:rowOff>
    </xdr:from>
    <xdr:to>
      <xdr:col>12</xdr:col>
      <xdr:colOff>323850</xdr:colOff>
      <xdr:row>66</xdr:row>
      <xdr:rowOff>95250</xdr:rowOff>
    </xdr:to>
    <xdr:sp>
      <xdr:nvSpPr>
        <xdr:cNvPr id="2" name="TextBox 2"/>
        <xdr:cNvSpPr txBox="1">
          <a:spLocks noChangeArrowheads="1"/>
        </xdr:cNvSpPr>
      </xdr:nvSpPr>
      <xdr:spPr>
        <a:xfrm>
          <a:off x="5000625" y="9582150"/>
          <a:ext cx="3076575" cy="1466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Inventory will be the previous month's balance, plus this month's purchases, minus this month's cost of goods.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55</xdr:row>
      <xdr:rowOff>114300</xdr:rowOff>
    </xdr:from>
    <xdr:to>
      <xdr:col>13</xdr:col>
      <xdr:colOff>104775</xdr:colOff>
      <xdr:row>66</xdr:row>
      <xdr:rowOff>276225</xdr:rowOff>
    </xdr:to>
    <xdr:sp>
      <xdr:nvSpPr>
        <xdr:cNvPr id="1" name="AutoShape 3"/>
        <xdr:cNvSpPr>
          <a:spLocks/>
        </xdr:cNvSpPr>
      </xdr:nvSpPr>
      <xdr:spPr>
        <a:xfrm>
          <a:off x="4657725" y="9410700"/>
          <a:ext cx="3810000" cy="1819275"/>
        </a:xfrm>
        <a:prstGeom prst="wedgeRoundRectCallout">
          <a:avLst>
            <a:gd name="adj1" fmla="val -55861"/>
            <a:gd name="adj2" fmla="val -80611"/>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57</xdr:row>
      <xdr:rowOff>28575</xdr:rowOff>
    </xdr:from>
    <xdr:to>
      <xdr:col>12</xdr:col>
      <xdr:colOff>323850</xdr:colOff>
      <xdr:row>66</xdr:row>
      <xdr:rowOff>95250</xdr:rowOff>
    </xdr:to>
    <xdr:sp>
      <xdr:nvSpPr>
        <xdr:cNvPr id="2" name="TextBox 4"/>
        <xdr:cNvSpPr txBox="1">
          <a:spLocks noChangeArrowheads="1"/>
        </xdr:cNvSpPr>
      </xdr:nvSpPr>
      <xdr:spPr>
        <a:xfrm>
          <a:off x="5000625" y="9582150"/>
          <a:ext cx="3076575" cy="1466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Account receivable will be the previous month's balance, plus this month's net sales, minus this month's collections.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32</xdr:row>
      <xdr:rowOff>171450</xdr:rowOff>
    </xdr:from>
    <xdr:to>
      <xdr:col>13</xdr:col>
      <xdr:colOff>238125</xdr:colOff>
      <xdr:row>44</xdr:row>
      <xdr:rowOff>19050</xdr:rowOff>
    </xdr:to>
    <xdr:sp>
      <xdr:nvSpPr>
        <xdr:cNvPr id="1" name="AutoShape 1"/>
        <xdr:cNvSpPr>
          <a:spLocks/>
        </xdr:cNvSpPr>
      </xdr:nvSpPr>
      <xdr:spPr>
        <a:xfrm>
          <a:off x="4791075" y="5600700"/>
          <a:ext cx="3810000" cy="1828800"/>
        </a:xfrm>
        <a:prstGeom prst="wedgeRoundRectCallout">
          <a:avLst>
            <a:gd name="adj1" fmla="val -59763"/>
            <a:gd name="adj2" fmla="val -88777"/>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647700</xdr:colOff>
      <xdr:row>34</xdr:row>
      <xdr:rowOff>0</xdr:rowOff>
    </xdr:from>
    <xdr:to>
      <xdr:col>12</xdr:col>
      <xdr:colOff>419100</xdr:colOff>
      <xdr:row>43</xdr:row>
      <xdr:rowOff>38100</xdr:rowOff>
    </xdr:to>
    <xdr:sp>
      <xdr:nvSpPr>
        <xdr:cNvPr id="2" name="TextBox 2"/>
        <xdr:cNvSpPr txBox="1">
          <a:spLocks noChangeArrowheads="1"/>
        </xdr:cNvSpPr>
      </xdr:nvSpPr>
      <xdr:spPr>
        <a:xfrm>
          <a:off x="5086350" y="5781675"/>
          <a:ext cx="3086100" cy="14763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Now in the cash budget, interest received on short term investments and interest paid on the short term debt can be added (from the income statement. Taxes can also be brought up from the income statement.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35</xdr:row>
      <xdr:rowOff>76200</xdr:rowOff>
    </xdr:from>
    <xdr:to>
      <xdr:col>13</xdr:col>
      <xdr:colOff>419100</xdr:colOff>
      <xdr:row>46</xdr:row>
      <xdr:rowOff>85725</xdr:rowOff>
    </xdr:to>
    <xdr:sp>
      <xdr:nvSpPr>
        <xdr:cNvPr id="1" name="AutoShape 1"/>
        <xdr:cNvSpPr>
          <a:spLocks/>
        </xdr:cNvSpPr>
      </xdr:nvSpPr>
      <xdr:spPr>
        <a:xfrm>
          <a:off x="4972050" y="5924550"/>
          <a:ext cx="3810000" cy="1819275"/>
        </a:xfrm>
        <a:prstGeom prst="wedgeRoundRectCallout">
          <a:avLst>
            <a:gd name="adj1" fmla="val -67773"/>
            <a:gd name="adj2" fmla="val -1653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37</xdr:row>
      <xdr:rowOff>19050</xdr:rowOff>
    </xdr:from>
    <xdr:to>
      <xdr:col>13</xdr:col>
      <xdr:colOff>152400</xdr:colOff>
      <xdr:row>44</xdr:row>
      <xdr:rowOff>152400</xdr:rowOff>
    </xdr:to>
    <xdr:sp>
      <xdr:nvSpPr>
        <xdr:cNvPr id="2" name="TextBox 3"/>
        <xdr:cNvSpPr txBox="1">
          <a:spLocks noChangeArrowheads="1"/>
        </xdr:cNvSpPr>
      </xdr:nvSpPr>
      <xdr:spPr>
        <a:xfrm>
          <a:off x="5257800" y="6096000"/>
          <a:ext cx="3257550" cy="1466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Now we can finish up the cash account. Inputs for the minumum acceptable cash balance are given on the INPUTS page. You will need to divide the fixed amount by $1,000 to match the scale of these statements. Also, note these three input cells are not named, so you will need to lock the references to those cells with the F4 key so they can be copied correctly.</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44</xdr:row>
      <xdr:rowOff>57150</xdr:rowOff>
    </xdr:from>
    <xdr:to>
      <xdr:col>13</xdr:col>
      <xdr:colOff>438150</xdr:colOff>
      <xdr:row>54</xdr:row>
      <xdr:rowOff>180975</xdr:rowOff>
    </xdr:to>
    <xdr:sp>
      <xdr:nvSpPr>
        <xdr:cNvPr id="1" name="AutoShape 1"/>
        <xdr:cNvSpPr>
          <a:spLocks/>
        </xdr:cNvSpPr>
      </xdr:nvSpPr>
      <xdr:spPr>
        <a:xfrm>
          <a:off x="5000625" y="7467600"/>
          <a:ext cx="3800475" cy="1819275"/>
        </a:xfrm>
        <a:prstGeom prst="wedgeRoundRectCallout">
          <a:avLst>
            <a:gd name="adj1" fmla="val -62694"/>
            <a:gd name="adj2" fmla="val -57347"/>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46</xdr:row>
      <xdr:rowOff>19050</xdr:rowOff>
    </xdr:from>
    <xdr:to>
      <xdr:col>13</xdr:col>
      <xdr:colOff>133350</xdr:colOff>
      <xdr:row>54</xdr:row>
      <xdr:rowOff>38100</xdr:rowOff>
    </xdr:to>
    <xdr:sp>
      <xdr:nvSpPr>
        <xdr:cNvPr id="2" name="TextBox 2"/>
        <xdr:cNvSpPr txBox="1">
          <a:spLocks noChangeArrowheads="1"/>
        </xdr:cNvSpPr>
      </xdr:nvSpPr>
      <xdr:spPr>
        <a:xfrm>
          <a:off x="5238750" y="7677150"/>
          <a:ext cx="3257550" cy="14668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The change in short term investments is the amount that us needed in Row 44 to make the actual cash balance equal the desired cash balance.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46</xdr:row>
      <xdr:rowOff>142875</xdr:rowOff>
    </xdr:from>
    <xdr:to>
      <xdr:col>13</xdr:col>
      <xdr:colOff>114300</xdr:colOff>
      <xdr:row>57</xdr:row>
      <xdr:rowOff>76200</xdr:rowOff>
    </xdr:to>
    <xdr:sp>
      <xdr:nvSpPr>
        <xdr:cNvPr id="1" name="AutoShape 1"/>
        <xdr:cNvSpPr>
          <a:spLocks/>
        </xdr:cNvSpPr>
      </xdr:nvSpPr>
      <xdr:spPr>
        <a:xfrm>
          <a:off x="4667250" y="7800975"/>
          <a:ext cx="3810000" cy="1828800"/>
        </a:xfrm>
        <a:prstGeom prst="wedgeRoundRectCallout">
          <a:avLst>
            <a:gd name="adj1" fmla="val -55861"/>
            <a:gd name="adj2" fmla="val -53263"/>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48</xdr:row>
      <xdr:rowOff>123825</xdr:rowOff>
    </xdr:from>
    <xdr:to>
      <xdr:col>12</xdr:col>
      <xdr:colOff>419100</xdr:colOff>
      <xdr:row>54</xdr:row>
      <xdr:rowOff>104775</xdr:rowOff>
    </xdr:to>
    <xdr:sp>
      <xdr:nvSpPr>
        <xdr:cNvPr id="2" name="TextBox 2"/>
        <xdr:cNvSpPr txBox="1">
          <a:spLocks noChangeArrowheads="1"/>
        </xdr:cNvSpPr>
      </xdr:nvSpPr>
      <xdr:spPr>
        <a:xfrm>
          <a:off x="4914900" y="8020050"/>
          <a:ext cx="3257550" cy="119062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The cumulative cash excess or shortfall is the previous month's balance ($90,000 in short term investments) plus or minus the change in short term investments in Row 44.</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55</xdr:row>
      <xdr:rowOff>28575</xdr:rowOff>
    </xdr:from>
    <xdr:to>
      <xdr:col>12</xdr:col>
      <xdr:colOff>590550</xdr:colOff>
      <xdr:row>66</xdr:row>
      <xdr:rowOff>190500</xdr:rowOff>
    </xdr:to>
    <xdr:sp>
      <xdr:nvSpPr>
        <xdr:cNvPr id="1" name="AutoShape 1"/>
        <xdr:cNvSpPr>
          <a:spLocks/>
        </xdr:cNvSpPr>
      </xdr:nvSpPr>
      <xdr:spPr>
        <a:xfrm>
          <a:off x="4533900" y="9324975"/>
          <a:ext cx="3810000" cy="1819275"/>
        </a:xfrm>
        <a:prstGeom prst="wedgeRoundRectCallout">
          <a:avLst>
            <a:gd name="adj1" fmla="val -51953"/>
            <a:gd name="adj2" fmla="val -83467"/>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56</xdr:row>
      <xdr:rowOff>66675</xdr:rowOff>
    </xdr:from>
    <xdr:to>
      <xdr:col>12</xdr:col>
      <xdr:colOff>219075</xdr:colOff>
      <xdr:row>66</xdr:row>
      <xdr:rowOff>9525</xdr:rowOff>
    </xdr:to>
    <xdr:sp>
      <xdr:nvSpPr>
        <xdr:cNvPr id="2" name="TextBox 2"/>
        <xdr:cNvSpPr txBox="1">
          <a:spLocks noChangeArrowheads="1"/>
        </xdr:cNvSpPr>
      </xdr:nvSpPr>
      <xdr:spPr>
        <a:xfrm>
          <a:off x="4724400" y="9525000"/>
          <a:ext cx="3248025" cy="14382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For short term investments and short term loans, we need a formula that uses the cumulative cash excess of shortfall from Row 47. If that number is positive, that amount would be our short term investments. If that number is negatvie, that amount would be our short term loans. You will need IF statements to do this.</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52</xdr:row>
      <xdr:rowOff>19050</xdr:rowOff>
    </xdr:from>
    <xdr:to>
      <xdr:col>13</xdr:col>
      <xdr:colOff>57150</xdr:colOff>
      <xdr:row>63</xdr:row>
      <xdr:rowOff>85725</xdr:rowOff>
    </xdr:to>
    <xdr:sp>
      <xdr:nvSpPr>
        <xdr:cNvPr id="1" name="AutoShape 1"/>
        <xdr:cNvSpPr>
          <a:spLocks/>
        </xdr:cNvSpPr>
      </xdr:nvSpPr>
      <xdr:spPr>
        <a:xfrm>
          <a:off x="4619625" y="8801100"/>
          <a:ext cx="3800475" cy="1809750"/>
        </a:xfrm>
        <a:prstGeom prst="wedgeRoundRectCallout">
          <a:avLst>
            <a:gd name="adj1" fmla="val -49217"/>
            <a:gd name="adj2" fmla="val -9999"/>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53</xdr:row>
      <xdr:rowOff>47625</xdr:rowOff>
    </xdr:from>
    <xdr:to>
      <xdr:col>12</xdr:col>
      <xdr:colOff>371475</xdr:colOff>
      <xdr:row>61</xdr:row>
      <xdr:rowOff>142875</xdr:rowOff>
    </xdr:to>
    <xdr:sp>
      <xdr:nvSpPr>
        <xdr:cNvPr id="2" name="TextBox 2"/>
        <xdr:cNvSpPr txBox="1">
          <a:spLocks noChangeArrowheads="1"/>
        </xdr:cNvSpPr>
      </xdr:nvSpPr>
      <xdr:spPr>
        <a:xfrm>
          <a:off x="4867275" y="8991600"/>
          <a:ext cx="3257550" cy="13525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And we're done! 
Now you have a working model that will give correct results for any reasonable inputs you enter.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17</xdr:row>
      <xdr:rowOff>114300</xdr:rowOff>
    </xdr:from>
    <xdr:to>
      <xdr:col>12</xdr:col>
      <xdr:colOff>390525</xdr:colOff>
      <xdr:row>25</xdr:row>
      <xdr:rowOff>114300</xdr:rowOff>
    </xdr:to>
    <xdr:grpSp>
      <xdr:nvGrpSpPr>
        <xdr:cNvPr id="1" name="Group 3"/>
        <xdr:cNvGrpSpPr>
          <a:grpSpLocks/>
        </xdr:cNvGrpSpPr>
      </xdr:nvGrpSpPr>
      <xdr:grpSpPr>
        <a:xfrm>
          <a:off x="3771900" y="3009900"/>
          <a:ext cx="4371975" cy="1400175"/>
          <a:chOff x="429" y="305"/>
          <a:chExt cx="588" cy="164"/>
        </a:xfrm>
        <a:solidFill>
          <a:srgbClr val="FFFFFF"/>
        </a:solidFill>
      </xdr:grpSpPr>
      <xdr:sp>
        <xdr:nvSpPr>
          <xdr:cNvPr id="2" name="AutoShape 4"/>
          <xdr:cNvSpPr>
            <a:spLocks/>
          </xdr:cNvSpPr>
        </xdr:nvSpPr>
        <xdr:spPr>
          <a:xfrm>
            <a:off x="429" y="305"/>
            <a:ext cx="588" cy="164"/>
          </a:xfrm>
          <a:prstGeom prst="wedgeRoundRectCallout">
            <a:avLst>
              <a:gd name="adj1" fmla="val -30101"/>
              <a:gd name="adj2" fmla="val -115851"/>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5"/>
          <xdr:cNvSpPr txBox="1">
            <a:spLocks noChangeArrowheads="1"/>
          </xdr:cNvSpPr>
        </xdr:nvSpPr>
        <xdr:spPr>
          <a:xfrm>
            <a:off x="467" y="332"/>
            <a:ext cx="515" cy="121"/>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Start with Collections for January. The formulas will depend on the inputs for Sales on this page and on the percentages for monthly collection rates on the INPUTS page. Copy the January formulas to the other months.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22</xdr:row>
      <xdr:rowOff>123825</xdr:rowOff>
    </xdr:from>
    <xdr:to>
      <xdr:col>11</xdr:col>
      <xdr:colOff>619125</xdr:colOff>
      <xdr:row>31</xdr:row>
      <xdr:rowOff>85725</xdr:rowOff>
    </xdr:to>
    <xdr:grpSp>
      <xdr:nvGrpSpPr>
        <xdr:cNvPr id="1" name="Group 4"/>
        <xdr:cNvGrpSpPr>
          <a:grpSpLocks/>
        </xdr:cNvGrpSpPr>
      </xdr:nvGrpSpPr>
      <xdr:grpSpPr>
        <a:xfrm>
          <a:off x="3352800" y="3981450"/>
          <a:ext cx="4371975" cy="1371600"/>
          <a:chOff x="429" y="305"/>
          <a:chExt cx="588" cy="164"/>
        </a:xfrm>
        <a:solidFill>
          <a:srgbClr val="FFFFFF"/>
        </a:solidFill>
      </xdr:grpSpPr>
      <xdr:sp>
        <xdr:nvSpPr>
          <xdr:cNvPr id="2" name="AutoShape 5"/>
          <xdr:cNvSpPr>
            <a:spLocks/>
          </xdr:cNvSpPr>
        </xdr:nvSpPr>
        <xdr:spPr>
          <a:xfrm>
            <a:off x="429" y="305"/>
            <a:ext cx="588" cy="164"/>
          </a:xfrm>
          <a:prstGeom prst="wedgeRoundRectCallout">
            <a:avLst>
              <a:gd name="adj1" fmla="val -30101"/>
              <a:gd name="adj2" fmla="val -115851"/>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6"/>
          <xdr:cNvSpPr txBox="1">
            <a:spLocks noChangeArrowheads="1"/>
          </xdr:cNvSpPr>
        </xdr:nvSpPr>
        <xdr:spPr>
          <a:xfrm>
            <a:off x="467" y="332"/>
            <a:ext cx="515" cy="121"/>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Now do Purchases for January. The formulas will depend on the inputs for Sales on this page and on the percentages for purchse rates on the INPUTS page. Copy the January formulas to the other months.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24</xdr:row>
      <xdr:rowOff>38100</xdr:rowOff>
    </xdr:from>
    <xdr:to>
      <xdr:col>13</xdr:col>
      <xdr:colOff>333375</xdr:colOff>
      <xdr:row>33</xdr:row>
      <xdr:rowOff>9525</xdr:rowOff>
    </xdr:to>
    <xdr:sp>
      <xdr:nvSpPr>
        <xdr:cNvPr id="1" name="AutoShape 4"/>
        <xdr:cNvSpPr>
          <a:spLocks/>
        </xdr:cNvSpPr>
      </xdr:nvSpPr>
      <xdr:spPr>
        <a:xfrm>
          <a:off x="4886325" y="4248150"/>
          <a:ext cx="3810000" cy="1381125"/>
        </a:xfrm>
        <a:prstGeom prst="wedgeRoundRectCallout">
          <a:avLst>
            <a:gd name="adj1" fmla="val -60134"/>
            <a:gd name="adj2" fmla="val -2486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26</xdr:row>
      <xdr:rowOff>19050</xdr:rowOff>
    </xdr:from>
    <xdr:to>
      <xdr:col>12</xdr:col>
      <xdr:colOff>561975</xdr:colOff>
      <xdr:row>32</xdr:row>
      <xdr:rowOff>57150</xdr:rowOff>
    </xdr:to>
    <xdr:sp>
      <xdr:nvSpPr>
        <xdr:cNvPr id="2" name="TextBox 5"/>
        <xdr:cNvSpPr txBox="1">
          <a:spLocks noChangeArrowheads="1"/>
        </xdr:cNvSpPr>
      </xdr:nvSpPr>
      <xdr:spPr>
        <a:xfrm>
          <a:off x="5124450" y="4476750"/>
          <a:ext cx="3190875" cy="1009650"/>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Now build the cash budget for January. You'll need to wait to complete the interest income, but the cash outflows can all be done. Start with the payment on accounts payable. Purchases are paid for one month after purchase.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28</xdr:row>
      <xdr:rowOff>47625</xdr:rowOff>
    </xdr:from>
    <xdr:to>
      <xdr:col>13</xdr:col>
      <xdr:colOff>152400</xdr:colOff>
      <xdr:row>37</xdr:row>
      <xdr:rowOff>142875</xdr:rowOff>
    </xdr:to>
    <xdr:sp>
      <xdr:nvSpPr>
        <xdr:cNvPr id="1" name="AutoShape 3"/>
        <xdr:cNvSpPr>
          <a:spLocks/>
        </xdr:cNvSpPr>
      </xdr:nvSpPr>
      <xdr:spPr>
        <a:xfrm>
          <a:off x="4695825" y="4829175"/>
          <a:ext cx="3819525" cy="1390650"/>
        </a:xfrm>
        <a:prstGeom prst="wedgeRoundRectCallout">
          <a:avLst>
            <a:gd name="adj1" fmla="val -56629"/>
            <a:gd name="adj2" fmla="val -59092"/>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29</xdr:row>
      <xdr:rowOff>0</xdr:rowOff>
    </xdr:from>
    <xdr:to>
      <xdr:col>12</xdr:col>
      <xdr:colOff>352425</xdr:colOff>
      <xdr:row>35</xdr:row>
      <xdr:rowOff>114300</xdr:rowOff>
    </xdr:to>
    <xdr:sp>
      <xdr:nvSpPr>
        <xdr:cNvPr id="2" name="TextBox 4"/>
        <xdr:cNvSpPr txBox="1">
          <a:spLocks noChangeArrowheads="1"/>
        </xdr:cNvSpPr>
      </xdr:nvSpPr>
      <xdr:spPr>
        <a:xfrm>
          <a:off x="4914900" y="4943475"/>
          <a:ext cx="3190875" cy="10191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Salaries and Wages are next. You will need the inputs from the first page and sales from this page. Remember to adjust for the different scale of the input for fixed wages.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30</xdr:row>
      <xdr:rowOff>47625</xdr:rowOff>
    </xdr:from>
    <xdr:to>
      <xdr:col>12</xdr:col>
      <xdr:colOff>533400</xdr:colOff>
      <xdr:row>38</xdr:row>
      <xdr:rowOff>133350</xdr:rowOff>
    </xdr:to>
    <xdr:sp>
      <xdr:nvSpPr>
        <xdr:cNvPr id="1" name="AutoShape 1"/>
        <xdr:cNvSpPr>
          <a:spLocks/>
        </xdr:cNvSpPr>
      </xdr:nvSpPr>
      <xdr:spPr>
        <a:xfrm>
          <a:off x="4476750" y="5153025"/>
          <a:ext cx="3810000" cy="1400175"/>
        </a:xfrm>
        <a:prstGeom prst="wedgeRoundRectCallout">
          <a:avLst>
            <a:gd name="adj1" fmla="val -21148"/>
            <a:gd name="adj2" fmla="val -83689"/>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31</xdr:row>
      <xdr:rowOff>19050</xdr:rowOff>
    </xdr:from>
    <xdr:to>
      <xdr:col>12</xdr:col>
      <xdr:colOff>219075</xdr:colOff>
      <xdr:row>37</xdr:row>
      <xdr:rowOff>247650</xdr:rowOff>
    </xdr:to>
    <xdr:sp>
      <xdr:nvSpPr>
        <xdr:cNvPr id="2" name="TextBox 3"/>
        <xdr:cNvSpPr txBox="1">
          <a:spLocks noChangeArrowheads="1"/>
        </xdr:cNvSpPr>
      </xdr:nvSpPr>
      <xdr:spPr>
        <a:xfrm>
          <a:off x="4781550" y="5286375"/>
          <a:ext cx="3190875" cy="103822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Copy Payments and Wages/Salaries to the other months.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37</xdr:row>
      <xdr:rowOff>9525</xdr:rowOff>
    </xdr:from>
    <xdr:to>
      <xdr:col>13</xdr:col>
      <xdr:colOff>219075</xdr:colOff>
      <xdr:row>44</xdr:row>
      <xdr:rowOff>66675</xdr:rowOff>
    </xdr:to>
    <xdr:sp>
      <xdr:nvSpPr>
        <xdr:cNvPr id="1" name="AutoShape 1"/>
        <xdr:cNvSpPr>
          <a:spLocks/>
        </xdr:cNvSpPr>
      </xdr:nvSpPr>
      <xdr:spPr>
        <a:xfrm>
          <a:off x="3228975" y="6086475"/>
          <a:ext cx="5353050" cy="1390650"/>
        </a:xfrm>
        <a:prstGeom prst="wedgeRoundRectCallout">
          <a:avLst>
            <a:gd name="adj1" fmla="val -28916"/>
            <a:gd name="adj2" fmla="val -11524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37</xdr:row>
      <xdr:rowOff>152400</xdr:rowOff>
    </xdr:from>
    <xdr:to>
      <xdr:col>12</xdr:col>
      <xdr:colOff>123825</xdr:colOff>
      <xdr:row>43</xdr:row>
      <xdr:rowOff>85725</xdr:rowOff>
    </xdr:to>
    <xdr:sp>
      <xdr:nvSpPr>
        <xdr:cNvPr id="2" name="TextBox 3"/>
        <xdr:cNvSpPr txBox="1">
          <a:spLocks noChangeArrowheads="1"/>
        </xdr:cNvSpPr>
      </xdr:nvSpPr>
      <xdr:spPr>
        <a:xfrm>
          <a:off x="3581400" y="6229350"/>
          <a:ext cx="4295775" cy="107632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You'll need to wait to do the interest on short-term debt. The amount of long-term debt on the balance sheet doesn't change, so this can be done next. There is an input on the first page and long-term debt is on the balance sheet below. Remember that interest is paid quarterly in March and June.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38</xdr:row>
      <xdr:rowOff>171450</xdr:rowOff>
    </xdr:from>
    <xdr:to>
      <xdr:col>10</xdr:col>
      <xdr:colOff>409575</xdr:colOff>
      <xdr:row>48</xdr:row>
      <xdr:rowOff>76200</xdr:rowOff>
    </xdr:to>
    <xdr:sp>
      <xdr:nvSpPr>
        <xdr:cNvPr id="1" name="AutoShape 1"/>
        <xdr:cNvSpPr>
          <a:spLocks/>
        </xdr:cNvSpPr>
      </xdr:nvSpPr>
      <xdr:spPr>
        <a:xfrm>
          <a:off x="3067050" y="6591300"/>
          <a:ext cx="3800475" cy="1381125"/>
        </a:xfrm>
        <a:prstGeom prst="wedgeRoundRectCallout">
          <a:avLst>
            <a:gd name="adj1" fmla="val -20310"/>
            <a:gd name="adj2" fmla="val -11524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40</xdr:row>
      <xdr:rowOff>66675</xdr:rowOff>
    </xdr:from>
    <xdr:to>
      <xdr:col>10</xdr:col>
      <xdr:colOff>190500</xdr:colOff>
      <xdr:row>47</xdr:row>
      <xdr:rowOff>0</xdr:rowOff>
    </xdr:to>
    <xdr:sp>
      <xdr:nvSpPr>
        <xdr:cNvPr id="2" name="TextBox 3"/>
        <xdr:cNvSpPr txBox="1">
          <a:spLocks noChangeArrowheads="1"/>
        </xdr:cNvSpPr>
      </xdr:nvSpPr>
      <xdr:spPr>
        <a:xfrm>
          <a:off x="3457575" y="6800850"/>
          <a:ext cx="3190875" cy="1019175"/>
        </a:xfrm>
        <a:prstGeom prst="rect">
          <a:avLst/>
        </a:prstGeom>
        <a:solidFill>
          <a:srgbClr val="FFFF00"/>
        </a:solidFill>
        <a:ln w="9525" cmpd="sng">
          <a:solidFill>
            <a:srgbClr val="FFFF00"/>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Dividends are the same each month and have an input on the first page. That one was done for you. The fixed asset purchase was also given. Taxes will have to wait until the income statement is finished.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J4"/>
  <sheetViews>
    <sheetView showGridLines="0" tabSelected="1" workbookViewId="0" topLeftCell="A1">
      <selection activeCell="A6" sqref="A6"/>
    </sheetView>
  </sheetViews>
  <sheetFormatPr defaultColWidth="9.140625" defaultRowHeight="12.75"/>
  <sheetData>
    <row r="2" spans="2:10" ht="15">
      <c r="B2" s="44" t="s">
        <v>96</v>
      </c>
      <c r="C2" s="44"/>
      <c r="D2" s="44"/>
      <c r="E2" s="44"/>
      <c r="F2" s="44"/>
      <c r="G2" s="44"/>
      <c r="H2" s="44"/>
      <c r="I2" s="44"/>
      <c r="J2" s="44"/>
    </row>
    <row r="3" ht="4.5" customHeight="1"/>
    <row r="4" spans="2:10" ht="17.25">
      <c r="B4" s="45" t="s">
        <v>95</v>
      </c>
      <c r="C4" s="45"/>
      <c r="D4" s="45"/>
      <c r="E4" s="45"/>
      <c r="F4" s="45"/>
      <c r="G4" s="45"/>
      <c r="H4" s="45"/>
      <c r="I4" s="45"/>
      <c r="J4" s="45"/>
    </row>
  </sheetData>
  <mergeCells count="2">
    <mergeCell ref="B2:J2"/>
    <mergeCell ref="B4:J4"/>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B1:Q82"/>
  <sheetViews>
    <sheetView workbookViewId="0" topLeftCell="A26">
      <selection activeCell="G33" sqref="G33"/>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8" ref="G62:L63">F62</f>
        <v>600</v>
      </c>
      <c r="H62" s="21">
        <f t="shared" si="18"/>
        <v>600</v>
      </c>
      <c r="I62" s="21">
        <f t="shared" si="18"/>
        <v>600</v>
      </c>
      <c r="J62" s="21">
        <f t="shared" si="18"/>
        <v>600</v>
      </c>
      <c r="K62" s="21">
        <f t="shared" si="18"/>
        <v>600</v>
      </c>
      <c r="L62" s="21">
        <f t="shared" si="18"/>
        <v>600</v>
      </c>
      <c r="M62" s="21"/>
      <c r="N62" s="36"/>
      <c r="O62" s="21"/>
      <c r="P62" s="21"/>
    </row>
    <row r="63" spans="2:16" ht="12.75">
      <c r="B63" s="35"/>
      <c r="C63" s="21" t="s">
        <v>65</v>
      </c>
      <c r="D63" s="21"/>
      <c r="E63" s="21"/>
      <c r="F63" s="21">
        <v>120</v>
      </c>
      <c r="G63" s="21">
        <f t="shared" si="18"/>
        <v>120</v>
      </c>
      <c r="H63" s="21">
        <f t="shared" si="18"/>
        <v>120</v>
      </c>
      <c r="I63" s="21">
        <f t="shared" si="18"/>
        <v>120</v>
      </c>
      <c r="J63" s="21">
        <f t="shared" si="18"/>
        <v>120</v>
      </c>
      <c r="K63" s="21">
        <f t="shared" si="18"/>
        <v>120</v>
      </c>
      <c r="L63" s="21">
        <f t="shared" si="18"/>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9" ref="F65:L65">SUM(F59:F64)</f>
        <v>1227</v>
      </c>
      <c r="G65" s="21">
        <f t="shared" si="19"/>
        <v>720</v>
      </c>
      <c r="H65" s="21">
        <f t="shared" si="19"/>
        <v>720</v>
      </c>
      <c r="I65" s="21">
        <f t="shared" si="19"/>
        <v>720</v>
      </c>
      <c r="J65" s="21">
        <f t="shared" si="19"/>
        <v>720</v>
      </c>
      <c r="K65" s="21">
        <f t="shared" si="19"/>
        <v>720</v>
      </c>
      <c r="L65" s="21">
        <f t="shared" si="19"/>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20" ref="G72:L72">SUM(G68:G71)</f>
        <v>0</v>
      </c>
      <c r="H72" s="21">
        <f t="shared" si="20"/>
        <v>0</v>
      </c>
      <c r="I72" s="21">
        <f t="shared" si="20"/>
        <v>0</v>
      </c>
      <c r="J72" s="21">
        <f t="shared" si="20"/>
        <v>0</v>
      </c>
      <c r="K72" s="21">
        <f t="shared" si="20"/>
        <v>0</v>
      </c>
      <c r="L72" s="21">
        <f t="shared" si="20"/>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21" ref="G76:L76">SUM(G72:G75)</f>
        <v>0</v>
      </c>
      <c r="H76" s="21">
        <f t="shared" si="21"/>
        <v>0</v>
      </c>
      <c r="I76" s="21">
        <f t="shared" si="21"/>
        <v>0</v>
      </c>
      <c r="J76" s="21">
        <f t="shared" si="21"/>
        <v>0</v>
      </c>
      <c r="K76" s="21">
        <f t="shared" si="21"/>
        <v>0</v>
      </c>
      <c r="L76" s="21">
        <f t="shared" si="21"/>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2" ref="G78:L78">SUM(G76:G77)</f>
        <v>0</v>
      </c>
      <c r="H78" s="21">
        <f t="shared" si="22"/>
        <v>0</v>
      </c>
      <c r="I78" s="21">
        <f t="shared" si="22"/>
        <v>0</v>
      </c>
      <c r="J78" s="21">
        <f t="shared" si="22"/>
        <v>0</v>
      </c>
      <c r="K78" s="21">
        <f t="shared" si="22"/>
        <v>0</v>
      </c>
      <c r="L78" s="21">
        <f t="shared" si="22"/>
        <v>0</v>
      </c>
      <c r="M78" s="21"/>
      <c r="N78" s="36"/>
      <c r="O78" s="21"/>
      <c r="P78" s="21"/>
    </row>
    <row r="79" spans="2:16" ht="15">
      <c r="B79" s="35"/>
      <c r="C79" s="23" t="s">
        <v>76</v>
      </c>
      <c r="D79" s="21"/>
      <c r="E79" s="21"/>
      <c r="F79" s="21"/>
      <c r="G79" s="23">
        <f aca="true" t="shared" si="23" ref="G79:L79">-G31</f>
        <v>-2</v>
      </c>
      <c r="H79" s="23">
        <f t="shared" si="23"/>
        <v>-2</v>
      </c>
      <c r="I79" s="23">
        <f t="shared" si="23"/>
        <v>-2</v>
      </c>
      <c r="J79" s="23">
        <f t="shared" si="23"/>
        <v>-2</v>
      </c>
      <c r="K79" s="23">
        <f t="shared" si="23"/>
        <v>-2</v>
      </c>
      <c r="L79" s="23">
        <f t="shared" si="23"/>
        <v>-2</v>
      </c>
      <c r="M79" s="23"/>
      <c r="N79" s="40"/>
      <c r="O79" s="23"/>
      <c r="P79" s="21"/>
    </row>
    <row r="80" spans="2:16" ht="12.75">
      <c r="B80" s="35"/>
      <c r="C80" s="21" t="s">
        <v>66</v>
      </c>
      <c r="D80" s="21"/>
      <c r="E80" s="21"/>
      <c r="F80" s="21"/>
      <c r="G80" s="21">
        <f aca="true" t="shared" si="24" ref="G80:L80">SUM(G78:G79)</f>
        <v>-2</v>
      </c>
      <c r="H80" s="21">
        <f t="shared" si="24"/>
        <v>-2</v>
      </c>
      <c r="I80" s="21">
        <f t="shared" si="24"/>
        <v>-2</v>
      </c>
      <c r="J80" s="21">
        <f t="shared" si="24"/>
        <v>-2</v>
      </c>
      <c r="K80" s="21">
        <f t="shared" si="24"/>
        <v>-2</v>
      </c>
      <c r="L80" s="21">
        <f t="shared" si="24"/>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Q82"/>
  <sheetViews>
    <sheetView workbookViewId="0" topLeftCell="A45">
      <selection activeCell="G59" sqref="G59"/>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8" ref="G62:L63">F62</f>
        <v>600</v>
      </c>
      <c r="H62" s="21">
        <f t="shared" si="18"/>
        <v>600</v>
      </c>
      <c r="I62" s="21">
        <f t="shared" si="18"/>
        <v>600</v>
      </c>
      <c r="J62" s="21">
        <f t="shared" si="18"/>
        <v>600</v>
      </c>
      <c r="K62" s="21">
        <f t="shared" si="18"/>
        <v>600</v>
      </c>
      <c r="L62" s="21">
        <f t="shared" si="18"/>
        <v>600</v>
      </c>
      <c r="M62" s="21"/>
      <c r="N62" s="36"/>
      <c r="O62" s="21"/>
      <c r="P62" s="21"/>
    </row>
    <row r="63" spans="2:16" ht="12.75">
      <c r="B63" s="35"/>
      <c r="C63" s="21" t="s">
        <v>65</v>
      </c>
      <c r="D63" s="21"/>
      <c r="E63" s="21"/>
      <c r="F63" s="21">
        <v>120</v>
      </c>
      <c r="G63" s="21">
        <f t="shared" si="18"/>
        <v>120</v>
      </c>
      <c r="H63" s="21">
        <f t="shared" si="18"/>
        <v>120</v>
      </c>
      <c r="I63" s="21">
        <f t="shared" si="18"/>
        <v>120</v>
      </c>
      <c r="J63" s="21">
        <f t="shared" si="18"/>
        <v>120</v>
      </c>
      <c r="K63" s="21">
        <f t="shared" si="18"/>
        <v>120</v>
      </c>
      <c r="L63" s="21">
        <f t="shared" si="18"/>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9" ref="F65:L65">SUM(F59:F64)</f>
        <v>1227</v>
      </c>
      <c r="G65" s="21">
        <f t="shared" si="19"/>
        <v>720</v>
      </c>
      <c r="H65" s="21">
        <f t="shared" si="19"/>
        <v>720</v>
      </c>
      <c r="I65" s="21">
        <f t="shared" si="19"/>
        <v>720</v>
      </c>
      <c r="J65" s="21">
        <f t="shared" si="19"/>
        <v>720</v>
      </c>
      <c r="K65" s="21">
        <f t="shared" si="19"/>
        <v>720</v>
      </c>
      <c r="L65" s="21">
        <f t="shared" si="19"/>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20" ref="G72:L72">SUM(G68:G71)</f>
        <v>0</v>
      </c>
      <c r="H72" s="21">
        <f t="shared" si="20"/>
        <v>0</v>
      </c>
      <c r="I72" s="21">
        <f t="shared" si="20"/>
        <v>0</v>
      </c>
      <c r="J72" s="21">
        <f t="shared" si="20"/>
        <v>0</v>
      </c>
      <c r="K72" s="21">
        <f t="shared" si="20"/>
        <v>0</v>
      </c>
      <c r="L72" s="21">
        <f t="shared" si="20"/>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21" ref="G76:L76">SUM(G72:G75)</f>
        <v>0</v>
      </c>
      <c r="H76" s="21">
        <f t="shared" si="21"/>
        <v>0</v>
      </c>
      <c r="I76" s="21">
        <f t="shared" si="21"/>
        <v>0</v>
      </c>
      <c r="J76" s="21">
        <f t="shared" si="21"/>
        <v>0</v>
      </c>
      <c r="K76" s="21">
        <f t="shared" si="21"/>
        <v>0</v>
      </c>
      <c r="L76" s="21">
        <f t="shared" si="21"/>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2" ref="G78:L78">SUM(G76:G77)</f>
        <v>0</v>
      </c>
      <c r="H78" s="21">
        <f t="shared" si="22"/>
        <v>0</v>
      </c>
      <c r="I78" s="21">
        <f t="shared" si="22"/>
        <v>0</v>
      </c>
      <c r="J78" s="21">
        <f t="shared" si="22"/>
        <v>0</v>
      </c>
      <c r="K78" s="21">
        <f t="shared" si="22"/>
        <v>0</v>
      </c>
      <c r="L78" s="21">
        <f t="shared" si="22"/>
        <v>0</v>
      </c>
      <c r="M78" s="21"/>
      <c r="N78" s="36"/>
      <c r="O78" s="21"/>
      <c r="P78" s="21"/>
    </row>
    <row r="79" spans="2:16" ht="15">
      <c r="B79" s="35"/>
      <c r="C79" s="23" t="s">
        <v>76</v>
      </c>
      <c r="D79" s="21"/>
      <c r="E79" s="21"/>
      <c r="F79" s="21"/>
      <c r="G79" s="23">
        <f aca="true" t="shared" si="23" ref="G79:L79">-G31</f>
        <v>-2</v>
      </c>
      <c r="H79" s="23">
        <f t="shared" si="23"/>
        <v>-2</v>
      </c>
      <c r="I79" s="23">
        <f t="shared" si="23"/>
        <v>-2</v>
      </c>
      <c r="J79" s="23">
        <f t="shared" si="23"/>
        <v>-2</v>
      </c>
      <c r="K79" s="23">
        <f t="shared" si="23"/>
        <v>-2</v>
      </c>
      <c r="L79" s="23">
        <f t="shared" si="23"/>
        <v>-2</v>
      </c>
      <c r="M79" s="23"/>
      <c r="N79" s="40"/>
      <c r="O79" s="23"/>
      <c r="P79" s="21"/>
    </row>
    <row r="80" spans="2:16" ht="12.75">
      <c r="B80" s="35"/>
      <c r="C80" s="21" t="s">
        <v>66</v>
      </c>
      <c r="D80" s="21"/>
      <c r="E80" s="21"/>
      <c r="F80" s="21"/>
      <c r="G80" s="21">
        <f aca="true" t="shared" si="24" ref="G80:L80">SUM(G78:G79)</f>
        <v>-2</v>
      </c>
      <c r="H80" s="21">
        <f t="shared" si="24"/>
        <v>-2</v>
      </c>
      <c r="I80" s="21">
        <f t="shared" si="24"/>
        <v>-2</v>
      </c>
      <c r="J80" s="21">
        <f t="shared" si="24"/>
        <v>-2</v>
      </c>
      <c r="K80" s="21">
        <f t="shared" si="24"/>
        <v>-2</v>
      </c>
      <c r="L80" s="21">
        <f t="shared" si="24"/>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Q82"/>
  <sheetViews>
    <sheetView workbookViewId="0" topLeftCell="A53">
      <selection activeCell="G61" sqref="G61"/>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9" ref="G62:L63">F62</f>
        <v>600</v>
      </c>
      <c r="H62" s="21">
        <f t="shared" si="19"/>
        <v>600</v>
      </c>
      <c r="I62" s="21">
        <f t="shared" si="19"/>
        <v>600</v>
      </c>
      <c r="J62" s="21">
        <f t="shared" si="19"/>
        <v>600</v>
      </c>
      <c r="K62" s="21">
        <f t="shared" si="19"/>
        <v>600</v>
      </c>
      <c r="L62" s="21">
        <f t="shared" si="19"/>
        <v>600</v>
      </c>
      <c r="M62" s="21"/>
      <c r="N62" s="36"/>
      <c r="O62" s="21"/>
      <c r="P62" s="21"/>
    </row>
    <row r="63" spans="2:16" ht="12.75">
      <c r="B63" s="35"/>
      <c r="C63" s="21" t="s">
        <v>65</v>
      </c>
      <c r="D63" s="21"/>
      <c r="E63" s="21"/>
      <c r="F63" s="21">
        <v>120</v>
      </c>
      <c r="G63" s="21">
        <f t="shared" si="19"/>
        <v>120</v>
      </c>
      <c r="H63" s="21">
        <f t="shared" si="19"/>
        <v>120</v>
      </c>
      <c r="I63" s="21">
        <f t="shared" si="19"/>
        <v>120</v>
      </c>
      <c r="J63" s="21">
        <f t="shared" si="19"/>
        <v>120</v>
      </c>
      <c r="K63" s="21">
        <f t="shared" si="19"/>
        <v>120</v>
      </c>
      <c r="L63" s="21">
        <f t="shared" si="19"/>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0" ref="F65:L65">SUM(F59:F64)</f>
        <v>1227</v>
      </c>
      <c r="G65" s="21">
        <f t="shared" si="20"/>
        <v>868.5</v>
      </c>
      <c r="H65" s="21">
        <f t="shared" si="20"/>
        <v>845.55</v>
      </c>
      <c r="I65" s="21">
        <f t="shared" si="20"/>
        <v>816.95</v>
      </c>
      <c r="J65" s="21">
        <f t="shared" si="20"/>
        <v>795.05</v>
      </c>
      <c r="K65" s="21">
        <f t="shared" si="20"/>
        <v>801.8</v>
      </c>
      <c r="L65" s="21">
        <f t="shared" si="20"/>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21" ref="G72:L72">SUM(G68:G71)</f>
        <v>0</v>
      </c>
      <c r="H72" s="21">
        <f t="shared" si="21"/>
        <v>0</v>
      </c>
      <c r="I72" s="21">
        <f t="shared" si="21"/>
        <v>0</v>
      </c>
      <c r="J72" s="21">
        <f t="shared" si="21"/>
        <v>0</v>
      </c>
      <c r="K72" s="21">
        <f t="shared" si="21"/>
        <v>0</v>
      </c>
      <c r="L72" s="21">
        <f t="shared" si="21"/>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22" ref="G76:L76">SUM(G72:G75)</f>
        <v>0</v>
      </c>
      <c r="H76" s="21">
        <f t="shared" si="22"/>
        <v>0</v>
      </c>
      <c r="I76" s="21">
        <f t="shared" si="22"/>
        <v>0</v>
      </c>
      <c r="J76" s="21">
        <f t="shared" si="22"/>
        <v>0</v>
      </c>
      <c r="K76" s="21">
        <f t="shared" si="22"/>
        <v>0</v>
      </c>
      <c r="L76" s="21">
        <f t="shared" si="22"/>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3" ref="G78:L78">SUM(G76:G77)</f>
        <v>0</v>
      </c>
      <c r="H78" s="21">
        <f t="shared" si="23"/>
        <v>0</v>
      </c>
      <c r="I78" s="21">
        <f t="shared" si="23"/>
        <v>0</v>
      </c>
      <c r="J78" s="21">
        <f t="shared" si="23"/>
        <v>0</v>
      </c>
      <c r="K78" s="21">
        <f t="shared" si="23"/>
        <v>0</v>
      </c>
      <c r="L78" s="21">
        <f t="shared" si="23"/>
        <v>0</v>
      </c>
      <c r="M78" s="21"/>
      <c r="N78" s="36"/>
      <c r="O78" s="21"/>
      <c r="P78" s="21"/>
    </row>
    <row r="79" spans="2:16" ht="15">
      <c r="B79" s="35"/>
      <c r="C79" s="23" t="s">
        <v>76</v>
      </c>
      <c r="D79" s="21"/>
      <c r="E79" s="21"/>
      <c r="F79" s="21"/>
      <c r="G79" s="23">
        <f aca="true" t="shared" si="24" ref="G79:L79">-G31</f>
        <v>-2</v>
      </c>
      <c r="H79" s="23">
        <f t="shared" si="24"/>
        <v>-2</v>
      </c>
      <c r="I79" s="23">
        <f t="shared" si="24"/>
        <v>-2</v>
      </c>
      <c r="J79" s="23">
        <f t="shared" si="24"/>
        <v>-2</v>
      </c>
      <c r="K79" s="23">
        <f t="shared" si="24"/>
        <v>-2</v>
      </c>
      <c r="L79" s="23">
        <f t="shared" si="24"/>
        <v>-2</v>
      </c>
      <c r="M79" s="23"/>
      <c r="N79" s="40"/>
      <c r="O79" s="23"/>
      <c r="P79" s="21"/>
    </row>
    <row r="80" spans="2:16" ht="12.75">
      <c r="B80" s="35"/>
      <c r="C80" s="21" t="s">
        <v>66</v>
      </c>
      <c r="D80" s="21"/>
      <c r="E80" s="21"/>
      <c r="F80" s="21"/>
      <c r="G80" s="21">
        <f aca="true" t="shared" si="25" ref="G80:L80">SUM(G78:G79)</f>
        <v>-2</v>
      </c>
      <c r="H80" s="21">
        <f t="shared" si="25"/>
        <v>-2</v>
      </c>
      <c r="I80" s="21">
        <f t="shared" si="25"/>
        <v>-2</v>
      </c>
      <c r="J80" s="21">
        <f t="shared" si="25"/>
        <v>-2</v>
      </c>
      <c r="K80" s="21">
        <f t="shared" si="25"/>
        <v>-2</v>
      </c>
      <c r="L80" s="21">
        <f t="shared" si="25"/>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Q82"/>
  <sheetViews>
    <sheetView workbookViewId="0" topLeftCell="A56">
      <selection activeCell="G68" sqref="G68"/>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22" ref="G72:L72">SUM(G68:G71)</f>
        <v>0</v>
      </c>
      <c r="H72" s="21">
        <f t="shared" si="22"/>
        <v>0</v>
      </c>
      <c r="I72" s="21">
        <f t="shared" si="22"/>
        <v>0</v>
      </c>
      <c r="J72" s="21">
        <f t="shared" si="22"/>
        <v>0</v>
      </c>
      <c r="K72" s="21">
        <f t="shared" si="22"/>
        <v>0</v>
      </c>
      <c r="L72" s="21">
        <f t="shared" si="22"/>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23" ref="G76:L76">SUM(G72:G75)</f>
        <v>0</v>
      </c>
      <c r="H76" s="21">
        <f t="shared" si="23"/>
        <v>0</v>
      </c>
      <c r="I76" s="21">
        <f t="shared" si="23"/>
        <v>0</v>
      </c>
      <c r="J76" s="21">
        <f t="shared" si="23"/>
        <v>0</v>
      </c>
      <c r="K76" s="21">
        <f t="shared" si="23"/>
        <v>0</v>
      </c>
      <c r="L76" s="21">
        <f t="shared" si="23"/>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4" ref="G78:L78">SUM(G76:G77)</f>
        <v>0</v>
      </c>
      <c r="H78" s="21">
        <f t="shared" si="24"/>
        <v>0</v>
      </c>
      <c r="I78" s="21">
        <f t="shared" si="24"/>
        <v>0</v>
      </c>
      <c r="J78" s="21">
        <f t="shared" si="24"/>
        <v>0</v>
      </c>
      <c r="K78" s="21">
        <f t="shared" si="24"/>
        <v>0</v>
      </c>
      <c r="L78" s="21">
        <f t="shared" si="24"/>
        <v>0</v>
      </c>
      <c r="M78" s="21"/>
      <c r="N78" s="36"/>
      <c r="O78" s="21"/>
      <c r="P78" s="21"/>
    </row>
    <row r="79" spans="2:16" ht="15">
      <c r="B79" s="35"/>
      <c r="C79" s="23" t="s">
        <v>76</v>
      </c>
      <c r="D79" s="21"/>
      <c r="E79" s="21"/>
      <c r="F79" s="21"/>
      <c r="G79" s="23">
        <f aca="true" t="shared" si="25" ref="G79:L79">-G31</f>
        <v>-2</v>
      </c>
      <c r="H79" s="23">
        <f t="shared" si="25"/>
        <v>-2</v>
      </c>
      <c r="I79" s="23">
        <f t="shared" si="25"/>
        <v>-2</v>
      </c>
      <c r="J79" s="23">
        <f t="shared" si="25"/>
        <v>-2</v>
      </c>
      <c r="K79" s="23">
        <f t="shared" si="25"/>
        <v>-2</v>
      </c>
      <c r="L79" s="23">
        <f t="shared" si="25"/>
        <v>-2</v>
      </c>
      <c r="M79" s="23"/>
      <c r="N79" s="40"/>
      <c r="O79" s="23"/>
      <c r="P79" s="21"/>
    </row>
    <row r="80" spans="2:16" ht="12.75">
      <c r="B80" s="35"/>
      <c r="C80" s="21" t="s">
        <v>66</v>
      </c>
      <c r="D80" s="21"/>
      <c r="E80" s="21"/>
      <c r="F80" s="21"/>
      <c r="G80" s="21">
        <f aca="true" t="shared" si="26" ref="G80:L80">SUM(G78:G79)</f>
        <v>-2</v>
      </c>
      <c r="H80" s="21">
        <f t="shared" si="26"/>
        <v>-2</v>
      </c>
      <c r="I80" s="21">
        <f t="shared" si="26"/>
        <v>-2</v>
      </c>
      <c r="J80" s="21">
        <f t="shared" si="26"/>
        <v>-2</v>
      </c>
      <c r="K80" s="21">
        <f t="shared" si="26"/>
        <v>-2</v>
      </c>
      <c r="L80" s="21">
        <f t="shared" si="26"/>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B1:Q82"/>
  <sheetViews>
    <sheetView workbookViewId="0" topLeftCell="A48">
      <selection activeCell="G69" sqref="G69"/>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G68-G69-G70-G71</f>
        <v>247.5</v>
      </c>
      <c r="H72" s="21">
        <f>SUM(H68:H71)</f>
        <v>0</v>
      </c>
      <c r="I72" s="21">
        <f>SUM(I68:I71)</f>
        <v>0</v>
      </c>
      <c r="J72" s="21">
        <f>SUM(J68:J71)</f>
        <v>0</v>
      </c>
      <c r="K72" s="21">
        <f>SUM(K68:K71)</f>
        <v>0</v>
      </c>
      <c r="L72" s="21">
        <f>SUM(L68:L71)</f>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G72-G73-G74-G75</f>
        <v>247.5</v>
      </c>
      <c r="H76" s="21">
        <f>SUM(H72:H75)</f>
        <v>0</v>
      </c>
      <c r="I76" s="21">
        <f>SUM(I72:I75)</f>
        <v>0</v>
      </c>
      <c r="J76" s="21">
        <f>SUM(J72:J75)</f>
        <v>0</v>
      </c>
      <c r="K76" s="21">
        <f>SUM(K72:K75)</f>
        <v>0</v>
      </c>
      <c r="L76" s="21">
        <f>SUM(L72:L75)</f>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G76-G77</f>
        <v>247.5</v>
      </c>
      <c r="H78" s="21">
        <f>SUM(H76:H77)</f>
        <v>0</v>
      </c>
      <c r="I78" s="21">
        <f>SUM(I76:I77)</f>
        <v>0</v>
      </c>
      <c r="J78" s="21">
        <f>SUM(J76:J77)</f>
        <v>0</v>
      </c>
      <c r="K78" s="21">
        <f>SUM(K76:K77)</f>
        <v>0</v>
      </c>
      <c r="L78" s="21">
        <f>SUM(L76:L77)</f>
        <v>0</v>
      </c>
      <c r="M78" s="21"/>
      <c r="N78" s="36"/>
      <c r="O78" s="21"/>
      <c r="P78" s="21"/>
    </row>
    <row r="79" spans="2:16" ht="15">
      <c r="B79" s="35"/>
      <c r="C79" s="23" t="s">
        <v>76</v>
      </c>
      <c r="D79" s="21"/>
      <c r="E79" s="21"/>
      <c r="F79" s="21"/>
      <c r="G79" s="23">
        <v>2</v>
      </c>
      <c r="H79" s="23">
        <v>2</v>
      </c>
      <c r="I79" s="23">
        <v>2</v>
      </c>
      <c r="J79" s="23">
        <v>2</v>
      </c>
      <c r="K79" s="23">
        <v>2</v>
      </c>
      <c r="L79" s="23">
        <v>2</v>
      </c>
      <c r="M79" s="23"/>
      <c r="N79" s="40"/>
      <c r="O79" s="23"/>
      <c r="P79" s="21"/>
    </row>
    <row r="80" spans="2:16" ht="12.75">
      <c r="B80" s="35"/>
      <c r="C80" s="21" t="s">
        <v>66</v>
      </c>
      <c r="D80" s="21"/>
      <c r="E80" s="21"/>
      <c r="F80" s="21"/>
      <c r="G80" s="21">
        <f aca="true" t="shared" si="22" ref="G80:L80">G78-G79</f>
        <v>245.5</v>
      </c>
      <c r="H80" s="21">
        <f t="shared" si="22"/>
        <v>-2</v>
      </c>
      <c r="I80" s="21">
        <f t="shared" si="22"/>
        <v>-2</v>
      </c>
      <c r="J80" s="21">
        <f t="shared" si="22"/>
        <v>-2</v>
      </c>
      <c r="K80" s="21">
        <f t="shared" si="22"/>
        <v>-2</v>
      </c>
      <c r="L80" s="21">
        <f t="shared" si="22"/>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B1:Q82"/>
  <sheetViews>
    <sheetView workbookViewId="0" topLeftCell="A48">
      <selection activeCell="G71" sqref="G71"/>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c r="I68" s="21"/>
      <c r="J68" s="21"/>
      <c r="K68" s="21"/>
      <c r="L68" s="21"/>
      <c r="M68" s="21"/>
      <c r="N68" s="36"/>
      <c r="O68" s="21"/>
      <c r="P68" s="21"/>
    </row>
    <row r="69" spans="2:16" ht="12.75">
      <c r="B69" s="35"/>
      <c r="C69" s="21" t="s">
        <v>70</v>
      </c>
      <c r="D69" s="21"/>
      <c r="E69" s="21"/>
      <c r="F69" s="21"/>
      <c r="G69" s="21">
        <f>Materials*'13'!G5</f>
        <v>170</v>
      </c>
      <c r="H69" s="21"/>
      <c r="I69" s="21"/>
      <c r="J69" s="21"/>
      <c r="K69" s="21"/>
      <c r="L69" s="21"/>
      <c r="M69" s="21"/>
      <c r="N69" s="36"/>
      <c r="O69" s="21"/>
      <c r="P69" s="21"/>
    </row>
    <row r="70" spans="2:16" ht="12.75">
      <c r="B70" s="35"/>
      <c r="C70" s="21" t="s">
        <v>71</v>
      </c>
      <c r="D70" s="21"/>
      <c r="E70" s="21"/>
      <c r="F70" s="21"/>
      <c r="G70" s="21">
        <f>G28</f>
        <v>50</v>
      </c>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G68-G69-G70-G71</f>
        <v>27.5</v>
      </c>
      <c r="H72" s="21">
        <f>SUM(H68:H71)</f>
        <v>0</v>
      </c>
      <c r="I72" s="21">
        <f>SUM(I68:I71)</f>
        <v>0</v>
      </c>
      <c r="J72" s="21">
        <f>SUM(J68:J71)</f>
        <v>0</v>
      </c>
      <c r="K72" s="21">
        <f>SUM(K68:K71)</f>
        <v>0</v>
      </c>
      <c r="L72" s="21">
        <f>SUM(L68:L71)</f>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G72-G73-G74-G75</f>
        <v>27.5</v>
      </c>
      <c r="H76" s="21">
        <f>SUM(H72:H75)</f>
        <v>0</v>
      </c>
      <c r="I76" s="21">
        <f>SUM(I72:I75)</f>
        <v>0</v>
      </c>
      <c r="J76" s="21">
        <f>SUM(J72:J75)</f>
        <v>0</v>
      </c>
      <c r="K76" s="21">
        <f>SUM(K72:K75)</f>
        <v>0</v>
      </c>
      <c r="L76" s="21">
        <f>SUM(L72:L75)</f>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G76-G77</f>
        <v>27.5</v>
      </c>
      <c r="H78" s="21">
        <f>SUM(H76:H77)</f>
        <v>0</v>
      </c>
      <c r="I78" s="21">
        <f>SUM(I76:I77)</f>
        <v>0</v>
      </c>
      <c r="J78" s="21">
        <f>SUM(J76:J77)</f>
        <v>0</v>
      </c>
      <c r="K78" s="21">
        <f>SUM(K76:K77)</f>
        <v>0</v>
      </c>
      <c r="L78" s="21">
        <f>SUM(L76:L77)</f>
        <v>0</v>
      </c>
      <c r="M78" s="21"/>
      <c r="N78" s="36"/>
      <c r="O78" s="21"/>
      <c r="P78" s="21"/>
    </row>
    <row r="79" spans="2:16" ht="15">
      <c r="B79" s="35"/>
      <c r="C79" s="23" t="s">
        <v>76</v>
      </c>
      <c r="D79" s="21"/>
      <c r="E79" s="21"/>
      <c r="F79" s="21"/>
      <c r="G79" s="23">
        <f aca="true" t="shared" si="22" ref="G79:L79">G31</f>
        <v>2</v>
      </c>
      <c r="H79" s="23">
        <f t="shared" si="22"/>
        <v>2</v>
      </c>
      <c r="I79" s="23">
        <f t="shared" si="22"/>
        <v>2</v>
      </c>
      <c r="J79" s="23">
        <f t="shared" si="22"/>
        <v>2</v>
      </c>
      <c r="K79" s="23">
        <f t="shared" si="22"/>
        <v>2</v>
      </c>
      <c r="L79" s="23">
        <f t="shared" si="22"/>
        <v>2</v>
      </c>
      <c r="M79" s="23"/>
      <c r="N79" s="40"/>
      <c r="O79" s="23"/>
      <c r="P79" s="21"/>
    </row>
    <row r="80" spans="2:16" ht="12.75">
      <c r="B80" s="35"/>
      <c r="C80" s="21" t="s">
        <v>66</v>
      </c>
      <c r="D80" s="21"/>
      <c r="E80" s="21"/>
      <c r="F80" s="21"/>
      <c r="G80" s="21">
        <f>G78-G79</f>
        <v>25.5</v>
      </c>
      <c r="H80" s="21">
        <f>SUM(H78:H79)</f>
        <v>2</v>
      </c>
      <c r="I80" s="21">
        <f>SUM(I78:I79)</f>
        <v>2</v>
      </c>
      <c r="J80" s="21">
        <f>SUM(J78:J79)</f>
        <v>2</v>
      </c>
      <c r="K80" s="21">
        <f>SUM(K78:K79)</f>
        <v>2</v>
      </c>
      <c r="L80" s="21">
        <f>SUM(L78:L79)</f>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1:Q82"/>
  <sheetViews>
    <sheetView workbookViewId="0" topLeftCell="A48">
      <selection activeCell="G73" sqref="G73"/>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c r="I68" s="21"/>
      <c r="J68" s="21"/>
      <c r="K68" s="21"/>
      <c r="L68" s="21"/>
      <c r="M68" s="21"/>
      <c r="N68" s="36"/>
      <c r="O68" s="21"/>
      <c r="P68" s="21"/>
    </row>
    <row r="69" spans="2:16" ht="12.75">
      <c r="B69" s="35"/>
      <c r="C69" s="21" t="s">
        <v>70</v>
      </c>
      <c r="D69" s="21"/>
      <c r="E69" s="21"/>
      <c r="F69" s="21"/>
      <c r="G69" s="21">
        <f>Materials*'13'!G5</f>
        <v>170</v>
      </c>
      <c r="H69" s="21"/>
      <c r="I69" s="21"/>
      <c r="J69" s="21"/>
      <c r="K69" s="21"/>
      <c r="L69" s="21"/>
      <c r="M69" s="21"/>
      <c r="N69" s="36"/>
      <c r="O69" s="21"/>
      <c r="P69" s="21"/>
    </row>
    <row r="70" spans="2:16" ht="12.75">
      <c r="B70" s="35"/>
      <c r="C70" s="21" t="s">
        <v>71</v>
      </c>
      <c r="D70" s="21"/>
      <c r="E70" s="21"/>
      <c r="F70" s="21"/>
      <c r="G70" s="21">
        <f>G28</f>
        <v>50</v>
      </c>
      <c r="H70" s="21"/>
      <c r="I70" s="21"/>
      <c r="J70" s="21"/>
      <c r="K70" s="21"/>
      <c r="L70" s="21"/>
      <c r="M70" s="21"/>
      <c r="N70" s="36"/>
      <c r="O70" s="21"/>
      <c r="P70" s="21"/>
    </row>
    <row r="71" spans="2:16" ht="15">
      <c r="B71" s="35"/>
      <c r="C71" s="23" t="s">
        <v>72</v>
      </c>
      <c r="D71" s="21"/>
      <c r="E71" s="21"/>
      <c r="F71" s="21"/>
      <c r="G71" s="23">
        <f>F55*Depr</f>
        <v>6.15</v>
      </c>
      <c r="H71" s="23"/>
      <c r="I71" s="23"/>
      <c r="J71" s="23"/>
      <c r="K71" s="23"/>
      <c r="L71" s="23"/>
      <c r="M71" s="23"/>
      <c r="N71" s="40"/>
      <c r="O71" s="23"/>
      <c r="P71" s="21"/>
    </row>
    <row r="72" spans="2:16" ht="12.75">
      <c r="B72" s="35"/>
      <c r="C72" s="21" t="s">
        <v>69</v>
      </c>
      <c r="D72" s="21"/>
      <c r="E72" s="21"/>
      <c r="F72" s="21"/>
      <c r="G72" s="21">
        <f>G68-G69-G70-G71</f>
        <v>21.35</v>
      </c>
      <c r="H72" s="21">
        <f>SUM(H68:H71)</f>
        <v>0</v>
      </c>
      <c r="I72" s="21">
        <f>SUM(I68:I71)</f>
        <v>0</v>
      </c>
      <c r="J72" s="21">
        <f>SUM(J68:J71)</f>
        <v>0</v>
      </c>
      <c r="K72" s="21">
        <f>SUM(K68:K71)</f>
        <v>0</v>
      </c>
      <c r="L72" s="21">
        <f>SUM(L68:L71)</f>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22" ref="G76:L76">SUM(G72:G75)</f>
        <v>21.35</v>
      </c>
      <c r="H76" s="21">
        <f t="shared" si="22"/>
        <v>0</v>
      </c>
      <c r="I76" s="21">
        <f t="shared" si="22"/>
        <v>0</v>
      </c>
      <c r="J76" s="21">
        <f t="shared" si="22"/>
        <v>0</v>
      </c>
      <c r="K76" s="21">
        <f t="shared" si="22"/>
        <v>0</v>
      </c>
      <c r="L76" s="21">
        <f t="shared" si="22"/>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3" ref="G78:L78">SUM(G76:G77)</f>
        <v>21.35</v>
      </c>
      <c r="H78" s="21">
        <f t="shared" si="23"/>
        <v>0</v>
      </c>
      <c r="I78" s="21">
        <f t="shared" si="23"/>
        <v>0</v>
      </c>
      <c r="J78" s="21">
        <f t="shared" si="23"/>
        <v>0</v>
      </c>
      <c r="K78" s="21">
        <f t="shared" si="23"/>
        <v>0</v>
      </c>
      <c r="L78" s="21">
        <f t="shared" si="23"/>
        <v>0</v>
      </c>
      <c r="M78" s="21"/>
      <c r="N78" s="36"/>
      <c r="O78" s="21"/>
      <c r="P78" s="21"/>
    </row>
    <row r="79" spans="2:16" ht="15">
      <c r="B79" s="35"/>
      <c r="C79" s="23" t="s">
        <v>76</v>
      </c>
      <c r="D79" s="21"/>
      <c r="E79" s="21"/>
      <c r="F79" s="21"/>
      <c r="G79" s="23">
        <f>G31</f>
        <v>2</v>
      </c>
      <c r="H79" s="23">
        <f aca="true" t="shared" si="24" ref="H79:M79">H31</f>
        <v>2</v>
      </c>
      <c r="I79" s="23">
        <f t="shared" si="24"/>
        <v>2</v>
      </c>
      <c r="J79" s="23">
        <f t="shared" si="24"/>
        <v>2</v>
      </c>
      <c r="K79" s="23">
        <f t="shared" si="24"/>
        <v>2</v>
      </c>
      <c r="L79" s="23">
        <f t="shared" si="24"/>
        <v>2</v>
      </c>
      <c r="M79" s="23">
        <f t="shared" si="24"/>
        <v>0</v>
      </c>
      <c r="N79" s="40"/>
      <c r="O79" s="23"/>
      <c r="P79" s="21"/>
    </row>
    <row r="80" spans="2:16" ht="12.75">
      <c r="B80" s="35"/>
      <c r="C80" s="21" t="s">
        <v>66</v>
      </c>
      <c r="D80" s="21"/>
      <c r="E80" s="21"/>
      <c r="F80" s="21"/>
      <c r="G80" s="21">
        <f>G78-G79</f>
        <v>19.35</v>
      </c>
      <c r="H80" s="21">
        <f>SUM(H78:H79)</f>
        <v>2</v>
      </c>
      <c r="I80" s="21">
        <f>SUM(I78:I79)</f>
        <v>2</v>
      </c>
      <c r="J80" s="21">
        <f>SUM(J78:J79)</f>
        <v>2</v>
      </c>
      <c r="K80" s="21">
        <f>SUM(K78:K79)</f>
        <v>2</v>
      </c>
      <c r="L80" s="21">
        <f>SUM(L78:L79)</f>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B1:Q82"/>
  <sheetViews>
    <sheetView workbookViewId="0" topLeftCell="A48">
      <selection activeCell="G74" sqref="G74"/>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c r="I68" s="21"/>
      <c r="J68" s="21"/>
      <c r="K68" s="21"/>
      <c r="L68" s="21"/>
      <c r="M68" s="21"/>
      <c r="N68" s="36"/>
      <c r="O68" s="21"/>
      <c r="P68" s="21"/>
    </row>
    <row r="69" spans="2:16" ht="12.75">
      <c r="B69" s="35"/>
      <c r="C69" s="21" t="s">
        <v>70</v>
      </c>
      <c r="D69" s="21"/>
      <c r="E69" s="21"/>
      <c r="F69" s="21"/>
      <c r="G69" s="21">
        <f>Materials*'13'!G5</f>
        <v>170</v>
      </c>
      <c r="H69" s="21"/>
      <c r="I69" s="21"/>
      <c r="J69" s="21"/>
      <c r="K69" s="21"/>
      <c r="L69" s="21"/>
      <c r="M69" s="21"/>
      <c r="N69" s="36"/>
      <c r="O69" s="21"/>
      <c r="P69" s="21"/>
    </row>
    <row r="70" spans="2:16" ht="12.75">
      <c r="B70" s="35"/>
      <c r="C70" s="21" t="s">
        <v>71</v>
      </c>
      <c r="D70" s="21"/>
      <c r="E70" s="21"/>
      <c r="F70" s="21"/>
      <c r="G70" s="21">
        <f>G28</f>
        <v>50</v>
      </c>
      <c r="H70" s="21"/>
      <c r="I70" s="21"/>
      <c r="J70" s="21"/>
      <c r="K70" s="21"/>
      <c r="L70" s="21"/>
      <c r="M70" s="21"/>
      <c r="N70" s="36"/>
      <c r="O70" s="21"/>
      <c r="P70" s="21"/>
    </row>
    <row r="71" spans="2:16" ht="15">
      <c r="B71" s="35"/>
      <c r="C71" s="23" t="s">
        <v>72</v>
      </c>
      <c r="D71" s="21"/>
      <c r="E71" s="21"/>
      <c r="F71" s="21"/>
      <c r="G71" s="23">
        <f>F55*Depr</f>
        <v>6.15</v>
      </c>
      <c r="H71" s="23"/>
      <c r="I71" s="23"/>
      <c r="J71" s="23"/>
      <c r="K71" s="23"/>
      <c r="L71" s="23"/>
      <c r="M71" s="23"/>
      <c r="N71" s="40"/>
      <c r="O71" s="23"/>
      <c r="P71" s="21"/>
    </row>
    <row r="72" spans="2:16" ht="12.75">
      <c r="B72" s="35"/>
      <c r="C72" s="21" t="s">
        <v>69</v>
      </c>
      <c r="D72" s="21"/>
      <c r="E72" s="21"/>
      <c r="F72" s="21"/>
      <c r="G72" s="21">
        <f>G68-G69-G70-G71</f>
        <v>21.35</v>
      </c>
      <c r="H72" s="21">
        <f>SUM(H68:H71)</f>
        <v>0</v>
      </c>
      <c r="I72" s="21">
        <f>SUM(I68:I71)</f>
        <v>0</v>
      </c>
      <c r="J72" s="21">
        <f>SUM(J68:J71)</f>
        <v>0</v>
      </c>
      <c r="K72" s="21">
        <f>SUM(K68:K71)</f>
        <v>0</v>
      </c>
      <c r="L72" s="21">
        <f>SUM(L68:L71)</f>
        <v>0</v>
      </c>
      <c r="M72" s="21"/>
      <c r="N72" s="36"/>
      <c r="O72" s="21"/>
      <c r="P72" s="21"/>
    </row>
    <row r="73" spans="2:16" ht="12.75">
      <c r="B73" s="35"/>
      <c r="C73" s="21" t="s">
        <v>93</v>
      </c>
      <c r="D73" s="21"/>
      <c r="E73" s="21"/>
      <c r="F73" s="21"/>
      <c r="G73" s="21">
        <f>F62*LTDInt/12</f>
        <v>7.5</v>
      </c>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G72-G73</f>
        <v>13.850000000000001</v>
      </c>
      <c r="H76" s="21">
        <f>SUM(H72:H75)</f>
        <v>0</v>
      </c>
      <c r="I76" s="21">
        <f>SUM(I72:I75)</f>
        <v>0</v>
      </c>
      <c r="J76" s="21">
        <f>SUM(J72:J75)</f>
        <v>0</v>
      </c>
      <c r="K76" s="21">
        <f>SUM(K72:K75)</f>
        <v>0</v>
      </c>
      <c r="L76" s="21">
        <f>SUM(L72:L75)</f>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2" ref="G78:L78">SUM(G76:G77)</f>
        <v>13.850000000000001</v>
      </c>
      <c r="H78" s="21">
        <f t="shared" si="22"/>
        <v>0</v>
      </c>
      <c r="I78" s="21">
        <f t="shared" si="22"/>
        <v>0</v>
      </c>
      <c r="J78" s="21">
        <f t="shared" si="22"/>
        <v>0</v>
      </c>
      <c r="K78" s="21">
        <f t="shared" si="22"/>
        <v>0</v>
      </c>
      <c r="L78" s="21">
        <f t="shared" si="22"/>
        <v>0</v>
      </c>
      <c r="M78" s="21"/>
      <c r="N78" s="36"/>
      <c r="O78" s="21"/>
      <c r="P78" s="21"/>
    </row>
    <row r="79" spans="2:16" ht="15">
      <c r="B79" s="35"/>
      <c r="C79" s="23" t="s">
        <v>76</v>
      </c>
      <c r="D79" s="21"/>
      <c r="E79" s="21"/>
      <c r="F79" s="21"/>
      <c r="G79" s="23">
        <f>G31</f>
        <v>2</v>
      </c>
      <c r="H79" s="23">
        <f aca="true" t="shared" si="23" ref="H79:M79">H31</f>
        <v>2</v>
      </c>
      <c r="I79" s="23">
        <f t="shared" si="23"/>
        <v>2</v>
      </c>
      <c r="J79" s="23">
        <f t="shared" si="23"/>
        <v>2</v>
      </c>
      <c r="K79" s="23">
        <f t="shared" si="23"/>
        <v>2</v>
      </c>
      <c r="L79" s="23">
        <f t="shared" si="23"/>
        <v>2</v>
      </c>
      <c r="M79" s="23">
        <f t="shared" si="23"/>
        <v>0</v>
      </c>
      <c r="N79" s="40"/>
      <c r="O79" s="23"/>
      <c r="P79" s="21"/>
    </row>
    <row r="80" spans="2:16" ht="12.75">
      <c r="B80" s="35"/>
      <c r="C80" s="21" t="s">
        <v>66</v>
      </c>
      <c r="D80" s="21"/>
      <c r="E80" s="21"/>
      <c r="F80" s="21"/>
      <c r="G80" s="21">
        <f>G78-G79</f>
        <v>11.850000000000001</v>
      </c>
      <c r="H80" s="21">
        <f aca="true" t="shared" si="24" ref="H80:M80">H78-H79</f>
        <v>-2</v>
      </c>
      <c r="I80" s="21">
        <f t="shared" si="24"/>
        <v>-2</v>
      </c>
      <c r="J80" s="21">
        <f t="shared" si="24"/>
        <v>-2</v>
      </c>
      <c r="K80" s="21">
        <f t="shared" si="24"/>
        <v>-2</v>
      </c>
      <c r="L80" s="21">
        <f t="shared" si="24"/>
        <v>-2</v>
      </c>
      <c r="M80" s="21">
        <f t="shared" si="24"/>
        <v>0</v>
      </c>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B1:Q82"/>
  <sheetViews>
    <sheetView workbookViewId="0" topLeftCell="A48">
      <selection activeCell="G77" sqref="G77"/>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c r="I68" s="21"/>
      <c r="J68" s="21"/>
      <c r="K68" s="21"/>
      <c r="L68" s="21"/>
      <c r="M68" s="21"/>
      <c r="N68" s="36"/>
      <c r="O68" s="21"/>
      <c r="P68" s="21"/>
    </row>
    <row r="69" spans="2:16" ht="12.75">
      <c r="B69" s="35"/>
      <c r="C69" s="21" t="s">
        <v>70</v>
      </c>
      <c r="D69" s="21"/>
      <c r="E69" s="21"/>
      <c r="F69" s="21"/>
      <c r="G69" s="21">
        <f>Materials*'13'!G5</f>
        <v>170</v>
      </c>
      <c r="H69" s="21"/>
      <c r="I69" s="21"/>
      <c r="J69" s="21"/>
      <c r="K69" s="21"/>
      <c r="L69" s="21"/>
      <c r="M69" s="21"/>
      <c r="N69" s="36"/>
      <c r="O69" s="21"/>
      <c r="P69" s="21"/>
    </row>
    <row r="70" spans="2:16" ht="12.75">
      <c r="B70" s="35"/>
      <c r="C70" s="21" t="s">
        <v>71</v>
      </c>
      <c r="D70" s="21"/>
      <c r="E70" s="21"/>
      <c r="F70" s="21"/>
      <c r="G70" s="21">
        <f>G28</f>
        <v>50</v>
      </c>
      <c r="H70" s="21"/>
      <c r="I70" s="21"/>
      <c r="J70" s="21"/>
      <c r="K70" s="21"/>
      <c r="L70" s="21"/>
      <c r="M70" s="21"/>
      <c r="N70" s="36"/>
      <c r="O70" s="21"/>
      <c r="P70" s="21"/>
    </row>
    <row r="71" spans="2:16" ht="15">
      <c r="B71" s="35"/>
      <c r="C71" s="23" t="s">
        <v>72</v>
      </c>
      <c r="D71" s="21"/>
      <c r="E71" s="21"/>
      <c r="F71" s="21"/>
      <c r="G71" s="23">
        <f>F55*Depr</f>
        <v>6.15</v>
      </c>
      <c r="H71" s="23"/>
      <c r="I71" s="23"/>
      <c r="J71" s="23"/>
      <c r="K71" s="23"/>
      <c r="L71" s="23"/>
      <c r="M71" s="23"/>
      <c r="N71" s="40"/>
      <c r="O71" s="23"/>
      <c r="P71" s="21"/>
    </row>
    <row r="72" spans="2:16" ht="12.75">
      <c r="B72" s="35"/>
      <c r="C72" s="21" t="s">
        <v>69</v>
      </c>
      <c r="D72" s="21"/>
      <c r="E72" s="21"/>
      <c r="F72" s="21"/>
      <c r="G72" s="21">
        <f>G68-G69-G70-G71</f>
        <v>21.35</v>
      </c>
      <c r="H72" s="21">
        <f>SUM(H68:H71)</f>
        <v>0</v>
      </c>
      <c r="I72" s="21">
        <f>SUM(I68:I71)</f>
        <v>0</v>
      </c>
      <c r="J72" s="21">
        <f>SUM(J68:J71)</f>
        <v>0</v>
      </c>
      <c r="K72" s="21">
        <f>SUM(K68:K71)</f>
        <v>0</v>
      </c>
      <c r="L72" s="21">
        <f>SUM(L68:L71)</f>
        <v>0</v>
      </c>
      <c r="M72" s="21"/>
      <c r="N72" s="36"/>
      <c r="O72" s="21"/>
      <c r="P72" s="21"/>
    </row>
    <row r="73" spans="2:16" ht="12.75">
      <c r="B73" s="35"/>
      <c r="C73" s="21" t="s">
        <v>93</v>
      </c>
      <c r="D73" s="21"/>
      <c r="E73" s="21"/>
      <c r="F73" s="21"/>
      <c r="G73" s="21">
        <f>F62*LTDInt/12</f>
        <v>7.5</v>
      </c>
      <c r="H73" s="21"/>
      <c r="I73" s="21"/>
      <c r="J73" s="21"/>
      <c r="K73" s="21"/>
      <c r="L73" s="21"/>
      <c r="M73" s="21"/>
      <c r="N73" s="36"/>
      <c r="O73" s="21"/>
      <c r="P73" s="21"/>
    </row>
    <row r="74" spans="2:16" ht="12.75">
      <c r="B74" s="35"/>
      <c r="C74" s="43" t="s">
        <v>91</v>
      </c>
      <c r="D74" s="21"/>
      <c r="E74" s="21"/>
      <c r="F74" s="21"/>
      <c r="G74" s="21">
        <f>-STInt*F52</f>
        <v>-0.6749999999999999</v>
      </c>
      <c r="H74" s="21"/>
      <c r="I74" s="21"/>
      <c r="J74" s="21"/>
      <c r="K74" s="21"/>
      <c r="L74" s="21"/>
      <c r="M74" s="21"/>
      <c r="N74" s="36"/>
      <c r="O74" s="21"/>
      <c r="P74" s="21"/>
    </row>
    <row r="75" spans="2:16" ht="15">
      <c r="B75" s="35"/>
      <c r="C75" s="23" t="s">
        <v>94</v>
      </c>
      <c r="D75" s="21"/>
      <c r="E75" s="21"/>
      <c r="F75" s="21"/>
      <c r="G75" s="23">
        <f>STInt*'16'!F60</f>
        <v>0</v>
      </c>
      <c r="H75" s="23"/>
      <c r="I75" s="23"/>
      <c r="J75" s="23"/>
      <c r="K75" s="23"/>
      <c r="L75" s="23"/>
      <c r="M75" s="23"/>
      <c r="N75" s="40"/>
      <c r="O75" s="23"/>
      <c r="P75" s="21"/>
    </row>
    <row r="76" spans="2:16" ht="12.75">
      <c r="B76" s="35"/>
      <c r="C76" s="21" t="s">
        <v>73</v>
      </c>
      <c r="D76" s="21"/>
      <c r="E76" s="21"/>
      <c r="F76" s="21"/>
      <c r="G76" s="21">
        <f>G72-G73-G74-G75</f>
        <v>14.525000000000002</v>
      </c>
      <c r="H76" s="21">
        <f>SUM(H72:H75)</f>
        <v>0</v>
      </c>
      <c r="I76" s="21">
        <f>SUM(I72:I75)</f>
        <v>0</v>
      </c>
      <c r="J76" s="21">
        <f>SUM(J72:J75)</f>
        <v>0</v>
      </c>
      <c r="K76" s="21">
        <f>SUM(K72:K75)</f>
        <v>0</v>
      </c>
      <c r="L76" s="21">
        <f>SUM(L72:L75)</f>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2" ref="G78:L78">SUM(G76:G77)</f>
        <v>14.525000000000002</v>
      </c>
      <c r="H78" s="21">
        <f t="shared" si="22"/>
        <v>0</v>
      </c>
      <c r="I78" s="21">
        <f t="shared" si="22"/>
        <v>0</v>
      </c>
      <c r="J78" s="21">
        <f t="shared" si="22"/>
        <v>0</v>
      </c>
      <c r="K78" s="21">
        <f t="shared" si="22"/>
        <v>0</v>
      </c>
      <c r="L78" s="21">
        <f t="shared" si="22"/>
        <v>0</v>
      </c>
      <c r="M78" s="21"/>
      <c r="N78" s="36"/>
      <c r="O78" s="21"/>
      <c r="P78" s="21"/>
    </row>
    <row r="79" spans="2:16" ht="15">
      <c r="B79" s="35"/>
      <c r="C79" s="23" t="s">
        <v>76</v>
      </c>
      <c r="D79" s="21"/>
      <c r="E79" s="21"/>
      <c r="F79" s="21"/>
      <c r="G79" s="23">
        <f>G31</f>
        <v>2</v>
      </c>
      <c r="H79" s="23">
        <f>H31</f>
        <v>2</v>
      </c>
      <c r="I79" s="23">
        <f>I31</f>
        <v>2</v>
      </c>
      <c r="J79" s="23">
        <f>J31</f>
        <v>2</v>
      </c>
      <c r="K79" s="23">
        <f>K31</f>
        <v>2</v>
      </c>
      <c r="L79" s="23">
        <f>-L31</f>
        <v>-2</v>
      </c>
      <c r="M79" s="23"/>
      <c r="N79" s="40"/>
      <c r="O79" s="23"/>
      <c r="P79" s="21"/>
    </row>
    <row r="80" spans="2:16" ht="12.75">
      <c r="B80" s="35"/>
      <c r="C80" s="21" t="s">
        <v>66</v>
      </c>
      <c r="D80" s="21"/>
      <c r="E80" s="21"/>
      <c r="F80" s="21"/>
      <c r="G80" s="21">
        <f>G78-G79</f>
        <v>12.525000000000002</v>
      </c>
      <c r="H80" s="21">
        <f>H78-H79</f>
        <v>-2</v>
      </c>
      <c r="I80" s="21">
        <f>I78-I79</f>
        <v>-2</v>
      </c>
      <c r="J80" s="21">
        <f>J78-J79</f>
        <v>-2</v>
      </c>
      <c r="K80" s="21">
        <f>K78-K79</f>
        <v>-2</v>
      </c>
      <c r="L80" s="21">
        <f>SUM(L78:L79)</f>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B1:Q82"/>
  <sheetViews>
    <sheetView workbookViewId="0" topLeftCell="A48">
      <selection activeCell="H68" sqref="H68"/>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c r="I68" s="21"/>
      <c r="J68" s="21"/>
      <c r="K68" s="21"/>
      <c r="L68" s="21"/>
      <c r="M68" s="21"/>
      <c r="N68" s="36"/>
      <c r="O68" s="21"/>
      <c r="P68" s="21"/>
    </row>
    <row r="69" spans="2:16" ht="12.75">
      <c r="B69" s="35"/>
      <c r="C69" s="21" t="s">
        <v>70</v>
      </c>
      <c r="D69" s="21"/>
      <c r="E69" s="21"/>
      <c r="F69" s="21"/>
      <c r="G69" s="21">
        <f>Materials*'13'!G5</f>
        <v>170</v>
      </c>
      <c r="H69" s="21"/>
      <c r="I69" s="21"/>
      <c r="J69" s="21"/>
      <c r="K69" s="21"/>
      <c r="L69" s="21"/>
      <c r="M69" s="21"/>
      <c r="N69" s="36"/>
      <c r="O69" s="21"/>
      <c r="P69" s="21"/>
    </row>
    <row r="70" spans="2:16" ht="12.75">
      <c r="B70" s="35"/>
      <c r="C70" s="21" t="s">
        <v>71</v>
      </c>
      <c r="D70" s="21"/>
      <c r="E70" s="21"/>
      <c r="F70" s="21"/>
      <c r="G70" s="21">
        <f>G28</f>
        <v>50</v>
      </c>
      <c r="H70" s="21"/>
      <c r="I70" s="21"/>
      <c r="J70" s="21"/>
      <c r="K70" s="21"/>
      <c r="L70" s="21"/>
      <c r="M70" s="21"/>
      <c r="N70" s="36"/>
      <c r="O70" s="21"/>
      <c r="P70" s="21"/>
    </row>
    <row r="71" spans="2:16" ht="15">
      <c r="B71" s="35"/>
      <c r="C71" s="23" t="s">
        <v>72</v>
      </c>
      <c r="D71" s="21"/>
      <c r="E71" s="21"/>
      <c r="F71" s="21"/>
      <c r="G71" s="23">
        <f>F55*Depr</f>
        <v>6.15</v>
      </c>
      <c r="H71" s="23"/>
      <c r="I71" s="23"/>
      <c r="J71" s="23"/>
      <c r="K71" s="23"/>
      <c r="L71" s="23"/>
      <c r="M71" s="23"/>
      <c r="N71" s="40"/>
      <c r="O71" s="23"/>
      <c r="P71" s="21"/>
    </row>
    <row r="72" spans="2:16" ht="12.75">
      <c r="B72" s="35"/>
      <c r="C72" s="21" t="s">
        <v>69</v>
      </c>
      <c r="D72" s="21"/>
      <c r="E72" s="21"/>
      <c r="F72" s="21"/>
      <c r="G72" s="21">
        <f>G68-G69-G70-G71</f>
        <v>21.35</v>
      </c>
      <c r="H72" s="21">
        <f>SUM(H68:H71)</f>
        <v>0</v>
      </c>
      <c r="I72" s="21">
        <f>SUM(I68:I71)</f>
        <v>0</v>
      </c>
      <c r="J72" s="21">
        <f>SUM(J68:J71)</f>
        <v>0</v>
      </c>
      <c r="K72" s="21">
        <f>SUM(K68:K71)</f>
        <v>0</v>
      </c>
      <c r="L72" s="21">
        <f>SUM(L68:L71)</f>
        <v>0</v>
      </c>
      <c r="M72" s="21"/>
      <c r="N72" s="36"/>
      <c r="O72" s="21"/>
      <c r="P72" s="21"/>
    </row>
    <row r="73" spans="2:16" ht="12.75">
      <c r="B73" s="35"/>
      <c r="C73" s="21" t="s">
        <v>93</v>
      </c>
      <c r="D73" s="21"/>
      <c r="E73" s="21"/>
      <c r="F73" s="21"/>
      <c r="G73" s="21">
        <f>F62*LTDInt/12</f>
        <v>7.5</v>
      </c>
      <c r="H73" s="21"/>
      <c r="I73" s="21"/>
      <c r="J73" s="21"/>
      <c r="K73" s="21"/>
      <c r="L73" s="21"/>
      <c r="M73" s="21"/>
      <c r="N73" s="36"/>
      <c r="O73" s="21"/>
      <c r="P73" s="21"/>
    </row>
    <row r="74" spans="2:16" ht="12.75">
      <c r="B74" s="35"/>
      <c r="C74" s="43" t="s">
        <v>91</v>
      </c>
      <c r="D74" s="21"/>
      <c r="E74" s="21"/>
      <c r="F74" s="21"/>
      <c r="G74" s="21">
        <f>-STInt*'16'!F52</f>
        <v>-0.6749999999999999</v>
      </c>
      <c r="H74" s="21"/>
      <c r="I74" s="21"/>
      <c r="J74" s="21"/>
      <c r="K74" s="21"/>
      <c r="L74" s="21"/>
      <c r="M74" s="21"/>
      <c r="N74" s="36"/>
      <c r="O74" s="21"/>
      <c r="P74" s="21"/>
    </row>
    <row r="75" spans="2:16" ht="15">
      <c r="B75" s="35"/>
      <c r="C75" s="23" t="s">
        <v>94</v>
      </c>
      <c r="D75" s="21"/>
      <c r="E75" s="21"/>
      <c r="F75" s="21"/>
      <c r="G75" s="23">
        <f>STInt*'16'!F60</f>
        <v>0</v>
      </c>
      <c r="H75" s="23"/>
      <c r="I75" s="23"/>
      <c r="J75" s="23"/>
      <c r="K75" s="23"/>
      <c r="L75" s="23"/>
      <c r="M75" s="23"/>
      <c r="N75" s="40"/>
      <c r="O75" s="23"/>
      <c r="P75" s="21"/>
    </row>
    <row r="76" spans="2:16" ht="12.75">
      <c r="B76" s="35"/>
      <c r="C76" s="21" t="s">
        <v>73</v>
      </c>
      <c r="D76" s="21"/>
      <c r="E76" s="21"/>
      <c r="F76" s="21"/>
      <c r="G76" s="21">
        <f>G72-G73-G74-G75</f>
        <v>14.525000000000002</v>
      </c>
      <c r="H76" s="21">
        <f>SUM(H72:H75)</f>
        <v>0</v>
      </c>
      <c r="I76" s="21">
        <f>SUM(I72:I75)</f>
        <v>0</v>
      </c>
      <c r="J76" s="21">
        <f>SUM(J72:J75)</f>
        <v>0</v>
      </c>
      <c r="K76" s="21">
        <f>SUM(K72:K75)</f>
        <v>0</v>
      </c>
      <c r="L76" s="21">
        <f>SUM(L72:L75)</f>
        <v>0</v>
      </c>
      <c r="M76" s="21"/>
      <c r="N76" s="36"/>
      <c r="O76" s="21"/>
      <c r="P76" s="21"/>
    </row>
    <row r="77" spans="2:16" ht="15">
      <c r="B77" s="35"/>
      <c r="C77" s="23" t="s">
        <v>74</v>
      </c>
      <c r="D77" s="21"/>
      <c r="E77" s="21"/>
      <c r="F77" s="21"/>
      <c r="G77" s="23">
        <f>G76*TaxRate</f>
        <v>5.08375</v>
      </c>
      <c r="H77" s="23"/>
      <c r="I77" s="23"/>
      <c r="J77" s="23"/>
      <c r="K77" s="23"/>
      <c r="L77" s="23"/>
      <c r="M77" s="23"/>
      <c r="N77" s="40"/>
      <c r="O77" s="23"/>
      <c r="P77" s="21"/>
    </row>
    <row r="78" spans="2:16" ht="12.75">
      <c r="B78" s="35"/>
      <c r="C78" s="21" t="s">
        <v>75</v>
      </c>
      <c r="D78" s="21"/>
      <c r="E78" s="21"/>
      <c r="F78" s="21"/>
      <c r="G78" s="21">
        <f>G76-G77</f>
        <v>9.441250000000002</v>
      </c>
      <c r="H78" s="21">
        <f>SUM(H76:H77)</f>
        <v>0</v>
      </c>
      <c r="I78" s="21">
        <f>SUM(I76:I77)</f>
        <v>0</v>
      </c>
      <c r="J78" s="21">
        <f>SUM(J76:J77)</f>
        <v>0</v>
      </c>
      <c r="K78" s="21">
        <f>SUM(K76:K77)</f>
        <v>0</v>
      </c>
      <c r="L78" s="21">
        <f>SUM(L76:L77)</f>
        <v>0</v>
      </c>
      <c r="M78" s="21"/>
      <c r="N78" s="36"/>
      <c r="O78" s="21"/>
      <c r="P78" s="21"/>
    </row>
    <row r="79" spans="2:16" ht="15">
      <c r="B79" s="35"/>
      <c r="C79" s="23" t="s">
        <v>76</v>
      </c>
      <c r="D79" s="21"/>
      <c r="E79" s="21"/>
      <c r="F79" s="21"/>
      <c r="G79" s="23">
        <f aca="true" t="shared" si="22" ref="G79:L79">G31</f>
        <v>2</v>
      </c>
      <c r="H79" s="23">
        <f t="shared" si="22"/>
        <v>2</v>
      </c>
      <c r="I79" s="23">
        <f t="shared" si="22"/>
        <v>2</v>
      </c>
      <c r="J79" s="23">
        <f t="shared" si="22"/>
        <v>2</v>
      </c>
      <c r="K79" s="23">
        <f t="shared" si="22"/>
        <v>2</v>
      </c>
      <c r="L79" s="23">
        <f t="shared" si="22"/>
        <v>2</v>
      </c>
      <c r="M79" s="23"/>
      <c r="N79" s="40"/>
      <c r="O79" s="23"/>
      <c r="P79" s="21"/>
    </row>
    <row r="80" spans="2:16" ht="12.75">
      <c r="B80" s="35"/>
      <c r="C80" s="21" t="s">
        <v>66</v>
      </c>
      <c r="D80" s="21"/>
      <c r="E80" s="21"/>
      <c r="F80" s="21"/>
      <c r="G80" s="21">
        <f aca="true" t="shared" si="23" ref="G80:L80">G78-G79</f>
        <v>7.441250000000002</v>
      </c>
      <c r="H80" s="21">
        <f t="shared" si="23"/>
        <v>-2</v>
      </c>
      <c r="I80" s="21">
        <f t="shared" si="23"/>
        <v>-2</v>
      </c>
      <c r="J80" s="21">
        <f t="shared" si="23"/>
        <v>-2</v>
      </c>
      <c r="K80" s="21">
        <f t="shared" si="23"/>
        <v>-2</v>
      </c>
      <c r="L80" s="21">
        <f t="shared" si="23"/>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showGridLines="0" workbookViewId="0" topLeftCell="A1">
      <selection activeCell="M11" sqref="M11"/>
    </sheetView>
  </sheetViews>
  <sheetFormatPr defaultColWidth="9.140625" defaultRowHeight="12.75"/>
  <cols>
    <col min="1" max="1" width="4.28125" style="0" customWidth="1"/>
    <col min="2" max="2" width="1.57421875" style="0" customWidth="1"/>
    <col min="3" max="3" width="4.28125" style="6" customWidth="1"/>
    <col min="4" max="4" width="15.00390625" style="0" customWidth="1"/>
    <col min="6" max="6" width="10.7109375" style="0" customWidth="1"/>
    <col min="7" max="7" width="11.28125" style="0" bestFit="1" customWidth="1"/>
    <col min="8" max="8" width="2.7109375" style="0" customWidth="1"/>
    <col min="9" max="9" width="4.00390625" style="6" customWidth="1"/>
    <col min="10" max="10" width="11.421875" style="0" customWidth="1"/>
    <col min="11" max="11" width="11.28125" style="0" customWidth="1"/>
    <col min="12" max="12" width="15.421875" style="0" customWidth="1"/>
    <col min="14" max="14" width="1.8515625" style="0" customWidth="1"/>
  </cols>
  <sheetData>
    <row r="1" ht="21.75" customHeight="1" thickBot="1"/>
    <row r="2" spans="2:14" s="7" customFormat="1" ht="21" customHeight="1" thickBot="1">
      <c r="B2" s="46" t="s">
        <v>80</v>
      </c>
      <c r="C2" s="47"/>
      <c r="D2" s="47"/>
      <c r="E2" s="47"/>
      <c r="F2" s="47"/>
      <c r="G2" s="47"/>
      <c r="H2" s="47"/>
      <c r="I2" s="47"/>
      <c r="J2" s="47"/>
      <c r="K2" s="47"/>
      <c r="L2" s="47"/>
      <c r="M2" s="47"/>
      <c r="N2" s="48"/>
    </row>
    <row r="3" spans="2:14" ht="8.25" customHeight="1">
      <c r="B3" s="8"/>
      <c r="C3" s="9"/>
      <c r="D3" s="10"/>
      <c r="E3" s="10"/>
      <c r="F3" s="10"/>
      <c r="G3" s="10"/>
      <c r="H3" s="10"/>
      <c r="I3" s="9"/>
      <c r="J3" s="10"/>
      <c r="K3" s="10"/>
      <c r="L3" s="10"/>
      <c r="M3" s="10"/>
      <c r="N3" s="11"/>
    </row>
    <row r="4" spans="2:14" ht="13.5" thickBot="1">
      <c r="B4" s="12"/>
      <c r="C4" s="13" t="s">
        <v>2</v>
      </c>
      <c r="D4" s="14"/>
      <c r="E4" s="14"/>
      <c r="F4" s="14"/>
      <c r="G4" s="14"/>
      <c r="H4" s="14"/>
      <c r="I4" s="13"/>
      <c r="J4" s="14"/>
      <c r="K4" s="14"/>
      <c r="L4" s="14"/>
      <c r="M4" s="14"/>
      <c r="N4" s="15"/>
    </row>
    <row r="5" spans="2:14" ht="13.5" thickBot="1">
      <c r="B5" s="12"/>
      <c r="C5" s="13"/>
      <c r="D5" s="14" t="s">
        <v>1</v>
      </c>
      <c r="E5" s="14"/>
      <c r="F5" s="14"/>
      <c r="G5" s="24">
        <v>0.2</v>
      </c>
      <c r="H5" s="14"/>
      <c r="I5" s="13" t="s">
        <v>10</v>
      </c>
      <c r="J5" s="14"/>
      <c r="K5" s="14"/>
      <c r="L5" s="14"/>
      <c r="M5" s="14"/>
      <c r="N5" s="15"/>
    </row>
    <row r="6" spans="2:14" ht="12.75">
      <c r="B6" s="12"/>
      <c r="C6" s="13"/>
      <c r="D6" s="14" t="s">
        <v>3</v>
      </c>
      <c r="E6" s="14"/>
      <c r="F6" s="14"/>
      <c r="G6" s="25">
        <v>0.15</v>
      </c>
      <c r="H6" s="14"/>
      <c r="I6" s="13"/>
      <c r="J6" s="14" t="s">
        <v>11</v>
      </c>
      <c r="K6" s="14"/>
      <c r="L6" s="14"/>
      <c r="M6" s="30">
        <v>0.08</v>
      </c>
      <c r="N6" s="15"/>
    </row>
    <row r="7" spans="2:14" ht="12.75">
      <c r="B7" s="12"/>
      <c r="C7" s="13"/>
      <c r="D7" s="14" t="s">
        <v>4</v>
      </c>
      <c r="E7" s="14"/>
      <c r="F7" s="14"/>
      <c r="G7" s="25">
        <v>0.55</v>
      </c>
      <c r="H7" s="14"/>
      <c r="I7" s="13"/>
      <c r="J7" s="14" t="s">
        <v>12</v>
      </c>
      <c r="K7" s="14"/>
      <c r="L7" s="14"/>
      <c r="M7" s="29">
        <v>0.25</v>
      </c>
      <c r="N7" s="15"/>
    </row>
    <row r="8" spans="2:14" ht="13.5" thickBot="1">
      <c r="B8" s="12"/>
      <c r="C8" s="13"/>
      <c r="D8" s="14" t="s">
        <v>5</v>
      </c>
      <c r="E8" s="14"/>
      <c r="F8" s="14"/>
      <c r="G8" s="26">
        <v>0.09</v>
      </c>
      <c r="H8" s="14"/>
      <c r="I8" s="13"/>
      <c r="J8" s="14" t="s">
        <v>13</v>
      </c>
      <c r="K8" s="14"/>
      <c r="L8" s="14"/>
      <c r="M8" s="28">
        <v>0.35</v>
      </c>
      <c r="N8" s="15"/>
    </row>
    <row r="9" spans="2:14" ht="13.5" thickBot="1">
      <c r="B9" s="12"/>
      <c r="C9" s="13"/>
      <c r="D9" s="14"/>
      <c r="E9" s="14"/>
      <c r="F9" s="14"/>
      <c r="G9" s="16"/>
      <c r="H9" s="14"/>
      <c r="I9" s="13"/>
      <c r="J9" s="14"/>
      <c r="K9" s="14"/>
      <c r="L9" s="14"/>
      <c r="M9" s="16"/>
      <c r="N9" s="15"/>
    </row>
    <row r="10" spans="2:14" ht="13.5" thickBot="1">
      <c r="B10" s="12"/>
      <c r="C10" s="13" t="s">
        <v>15</v>
      </c>
      <c r="D10" s="14"/>
      <c r="E10" s="14"/>
      <c r="F10" s="14"/>
      <c r="G10" s="16"/>
      <c r="H10" s="14"/>
      <c r="I10" s="13" t="s">
        <v>14</v>
      </c>
      <c r="J10" s="14"/>
      <c r="K10" s="14"/>
      <c r="L10" s="14"/>
      <c r="M10" s="30">
        <v>0.68</v>
      </c>
      <c r="N10" s="15"/>
    </row>
    <row r="11" spans="2:14" ht="12.75">
      <c r="B11" s="12"/>
      <c r="C11" s="13"/>
      <c r="D11" s="14" t="s">
        <v>16</v>
      </c>
      <c r="E11" s="14"/>
      <c r="F11" s="14"/>
      <c r="G11" s="27">
        <v>15000</v>
      </c>
      <c r="H11" s="14"/>
      <c r="I11" s="13" t="s">
        <v>18</v>
      </c>
      <c r="J11" s="14"/>
      <c r="K11" s="14"/>
      <c r="L11" s="14"/>
      <c r="M11" s="31">
        <v>0.01</v>
      </c>
      <c r="N11" s="15"/>
    </row>
    <row r="12" spans="2:14" ht="13.5" thickBot="1">
      <c r="B12" s="12"/>
      <c r="C12" s="13"/>
      <c r="D12" s="14" t="s">
        <v>17</v>
      </c>
      <c r="E12" s="14"/>
      <c r="F12" s="14"/>
      <c r="G12" s="28">
        <v>0.14</v>
      </c>
      <c r="H12" s="14"/>
      <c r="I12" s="13" t="s">
        <v>19</v>
      </c>
      <c r="J12" s="14"/>
      <c r="K12" s="14"/>
      <c r="L12" s="14"/>
      <c r="M12" s="32">
        <v>2000</v>
      </c>
      <c r="N12" s="15"/>
    </row>
    <row r="13" spans="2:14" ht="13.5" thickBot="1">
      <c r="B13" s="12"/>
      <c r="C13" s="13"/>
      <c r="D13" s="14"/>
      <c r="E13" s="14"/>
      <c r="F13" s="14"/>
      <c r="G13" s="16"/>
      <c r="H13" s="14"/>
      <c r="I13" s="13"/>
      <c r="J13" s="14"/>
      <c r="K13" s="14"/>
      <c r="L13" s="14"/>
      <c r="M13" s="16"/>
      <c r="N13" s="15"/>
    </row>
    <row r="14" spans="2:14" ht="13.5" thickBot="1">
      <c r="B14" s="12"/>
      <c r="C14" s="13" t="s">
        <v>6</v>
      </c>
      <c r="D14" s="14"/>
      <c r="E14" s="14"/>
      <c r="F14" s="14"/>
      <c r="G14" s="16"/>
      <c r="H14" s="14"/>
      <c r="I14" s="13" t="s">
        <v>9</v>
      </c>
      <c r="J14" s="14"/>
      <c r="K14" s="14"/>
      <c r="L14" s="14"/>
      <c r="M14" s="33">
        <f>0.09/12</f>
        <v>0.0075</v>
      </c>
      <c r="N14" s="15"/>
    </row>
    <row r="15" spans="2:14" ht="13.5" thickBot="1">
      <c r="B15" s="12"/>
      <c r="C15" s="13"/>
      <c r="D15" s="14" t="s">
        <v>7</v>
      </c>
      <c r="E15" s="14"/>
      <c r="F15" s="14"/>
      <c r="G15" s="27">
        <v>15000</v>
      </c>
      <c r="H15" s="14"/>
      <c r="I15" s="13" t="s">
        <v>20</v>
      </c>
      <c r="J15" s="14"/>
      <c r="K15" s="14"/>
      <c r="L15" s="14"/>
      <c r="M15" s="28">
        <v>0.15</v>
      </c>
      <c r="N15" s="15"/>
    </row>
    <row r="16" spans="2:14" ht="13.5" thickBot="1">
      <c r="B16" s="12"/>
      <c r="C16" s="13"/>
      <c r="D16" s="14" t="s">
        <v>8</v>
      </c>
      <c r="E16" s="14"/>
      <c r="F16" s="14"/>
      <c r="G16" s="29">
        <v>0.65</v>
      </c>
      <c r="H16" s="14"/>
      <c r="I16" s="13"/>
      <c r="J16" s="14"/>
      <c r="K16" s="14"/>
      <c r="L16" s="14"/>
      <c r="M16" s="16"/>
      <c r="N16" s="15"/>
    </row>
    <row r="17" spans="2:14" ht="13.5" thickBot="1">
      <c r="B17" s="12"/>
      <c r="C17" s="13"/>
      <c r="D17" s="14" t="s">
        <v>77</v>
      </c>
      <c r="E17" s="14"/>
      <c r="F17" s="14"/>
      <c r="G17" s="28">
        <v>0.75</v>
      </c>
      <c r="H17" s="14"/>
      <c r="I17" s="13" t="s">
        <v>37</v>
      </c>
      <c r="J17" s="14"/>
      <c r="K17" s="14"/>
      <c r="L17" s="14"/>
      <c r="M17" s="34">
        <v>0.35</v>
      </c>
      <c r="N17" s="15"/>
    </row>
    <row r="18" spans="2:14" ht="6" customHeight="1" thickBot="1">
      <c r="B18" s="17"/>
      <c r="C18" s="18"/>
      <c r="D18" s="19"/>
      <c r="E18" s="19"/>
      <c r="F18" s="19"/>
      <c r="G18" s="19"/>
      <c r="H18" s="19"/>
      <c r="I18" s="18"/>
      <c r="J18" s="19"/>
      <c r="K18" s="19"/>
      <c r="L18" s="19"/>
      <c r="M18" s="19"/>
      <c r="N18" s="20"/>
    </row>
  </sheetData>
  <mergeCells count="1">
    <mergeCell ref="B2:N2"/>
  </mergeCells>
  <printOptions/>
  <pageMargins left="0.75" right="0.75" top="1" bottom="1" header="0.5" footer="0.5"/>
  <pageSetup fitToHeight="1" fitToWidth="1" horizontalDpi="600" verticalDpi="600" orientation="portrait" scale="82" r:id="rId1"/>
</worksheet>
</file>

<file path=xl/worksheets/sheet20.xml><?xml version="1.0" encoding="utf-8"?>
<worksheet xmlns="http://schemas.openxmlformats.org/spreadsheetml/2006/main" xmlns:r="http://schemas.openxmlformats.org/officeDocument/2006/relationships">
  <dimension ref="B1:Q82"/>
  <sheetViews>
    <sheetView workbookViewId="0" topLeftCell="A48">
      <selection activeCell="G64" sqref="G64"/>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21" ref="F65:L65">SUM(F59:F64)</f>
        <v>1227</v>
      </c>
      <c r="G65" s="21">
        <f t="shared" si="21"/>
        <v>876</v>
      </c>
      <c r="H65" s="21">
        <f t="shared" si="21"/>
        <v>860.55</v>
      </c>
      <c r="I65" s="21">
        <f t="shared" si="21"/>
        <v>816.95</v>
      </c>
      <c r="J65" s="21">
        <f t="shared" si="21"/>
        <v>802.55</v>
      </c>
      <c r="K65" s="21">
        <f t="shared" si="21"/>
        <v>816.8</v>
      </c>
      <c r="L65" s="21">
        <f t="shared" si="21"/>
        <v>855.2</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2" ref="G70:L70">G28</f>
        <v>50</v>
      </c>
      <c r="H70" s="21">
        <f t="shared" si="22"/>
        <v>47.900000000000006</v>
      </c>
      <c r="I70" s="21">
        <f t="shared" si="22"/>
        <v>41.6</v>
      </c>
      <c r="J70" s="21">
        <f t="shared" si="22"/>
        <v>37.400000000000006</v>
      </c>
      <c r="K70" s="21">
        <f t="shared" si="22"/>
        <v>30.400000000000002</v>
      </c>
      <c r="L70" s="21">
        <f t="shared" si="22"/>
        <v>27.6</v>
      </c>
      <c r="M70" s="21"/>
      <c r="N70" s="36"/>
      <c r="O70" s="21"/>
      <c r="P70" s="21"/>
    </row>
    <row r="71" spans="2:16" ht="15">
      <c r="B71" s="35"/>
      <c r="C71" s="23" t="s">
        <v>72</v>
      </c>
      <c r="D71" s="21"/>
      <c r="E71" s="21"/>
      <c r="F71" s="21"/>
      <c r="G71" s="23">
        <f aca="true" t="shared" si="23" ref="G71:L71">F55*Depr</f>
        <v>6.15</v>
      </c>
      <c r="H71" s="23">
        <f t="shared" si="23"/>
        <v>0</v>
      </c>
      <c r="I71" s="23">
        <f t="shared" si="23"/>
        <v>0</v>
      </c>
      <c r="J71" s="23">
        <f t="shared" si="23"/>
        <v>0</v>
      </c>
      <c r="K71" s="23">
        <f t="shared" si="23"/>
        <v>0</v>
      </c>
      <c r="L71" s="23">
        <f t="shared" si="23"/>
        <v>0</v>
      </c>
      <c r="M71" s="23"/>
      <c r="N71" s="40"/>
      <c r="O71" s="23"/>
      <c r="P71" s="21"/>
    </row>
    <row r="72" spans="2:16" ht="12.75">
      <c r="B72" s="35"/>
      <c r="C72" s="21" t="s">
        <v>69</v>
      </c>
      <c r="D72" s="21"/>
      <c r="E72" s="21"/>
      <c r="F72" s="21"/>
      <c r="G72" s="21">
        <f aca="true" t="shared" si="24" ref="G72:L72">G68-G69-G70-G71</f>
        <v>21.35</v>
      </c>
      <c r="H72" s="21">
        <f t="shared" si="24"/>
        <v>24.94999999999999</v>
      </c>
      <c r="I72" s="21">
        <f t="shared" si="24"/>
        <v>17.299999999999976</v>
      </c>
      <c r="J72" s="21">
        <f t="shared" si="24"/>
        <v>12.199999999999989</v>
      </c>
      <c r="K72" s="21">
        <f t="shared" si="24"/>
        <v>3.699999999999992</v>
      </c>
      <c r="L72" s="21">
        <f t="shared" si="24"/>
        <v>0.29999999999999005</v>
      </c>
      <c r="M72" s="21"/>
      <c r="N72" s="36"/>
      <c r="O72" s="21"/>
      <c r="P72" s="21"/>
    </row>
    <row r="73" spans="2:16" ht="12.75">
      <c r="B73" s="35"/>
      <c r="C73" s="21" t="s">
        <v>93</v>
      </c>
      <c r="D73" s="21"/>
      <c r="E73" s="21"/>
      <c r="F73" s="21"/>
      <c r="G73" s="21">
        <f aca="true" t="shared" si="25" ref="G73:L73">F62*LTDInt/12</f>
        <v>7.5</v>
      </c>
      <c r="H73" s="21">
        <f t="shared" si="25"/>
        <v>7.5</v>
      </c>
      <c r="I73" s="21">
        <f t="shared" si="25"/>
        <v>7.5</v>
      </c>
      <c r="J73" s="21">
        <f t="shared" si="25"/>
        <v>7.5</v>
      </c>
      <c r="K73" s="21">
        <f t="shared" si="25"/>
        <v>7.5</v>
      </c>
      <c r="L73" s="21">
        <f t="shared" si="25"/>
        <v>7.5</v>
      </c>
      <c r="M73" s="21"/>
      <c r="N73" s="36"/>
      <c r="O73" s="21"/>
      <c r="P73" s="21"/>
    </row>
    <row r="74" spans="2:16" ht="12.75">
      <c r="B74" s="35"/>
      <c r="C74" s="43" t="s">
        <v>91</v>
      </c>
      <c r="D74" s="21"/>
      <c r="E74" s="21"/>
      <c r="F74" s="21"/>
      <c r="G74" s="21">
        <f aca="true" t="shared" si="26" ref="G74:L74">-STInt*F52</f>
        <v>-0.6749999999999999</v>
      </c>
      <c r="H74" s="21">
        <f t="shared" si="26"/>
        <v>0</v>
      </c>
      <c r="I74" s="21">
        <f t="shared" si="26"/>
        <v>0</v>
      </c>
      <c r="J74" s="21">
        <f t="shared" si="26"/>
        <v>0</v>
      </c>
      <c r="K74" s="21">
        <f t="shared" si="26"/>
        <v>0</v>
      </c>
      <c r="L74" s="21">
        <f t="shared" si="26"/>
        <v>0</v>
      </c>
      <c r="M74" s="21"/>
      <c r="N74" s="36"/>
      <c r="O74" s="21"/>
      <c r="P74" s="21"/>
    </row>
    <row r="75" spans="2:16" ht="15">
      <c r="B75" s="35"/>
      <c r="C75" s="23" t="s">
        <v>94</v>
      </c>
      <c r="D75" s="21"/>
      <c r="E75" s="21"/>
      <c r="F75" s="21"/>
      <c r="G75" s="23">
        <f>STInt*'16'!F60</f>
        <v>0</v>
      </c>
      <c r="H75" s="23">
        <f>STInt*'16'!G60</f>
        <v>0</v>
      </c>
      <c r="I75" s="23">
        <f>STInt*'16'!H60</f>
        <v>0</v>
      </c>
      <c r="J75" s="23">
        <f>STInt*'16'!I60</f>
        <v>0</v>
      </c>
      <c r="K75" s="23">
        <f>STInt*'16'!J60</f>
        <v>0</v>
      </c>
      <c r="L75" s="23">
        <f>STInt*'16'!K60</f>
        <v>0</v>
      </c>
      <c r="M75" s="23"/>
      <c r="N75" s="40"/>
      <c r="O75" s="23"/>
      <c r="P75" s="21"/>
    </row>
    <row r="76" spans="2:16" ht="12.75">
      <c r="B76" s="35"/>
      <c r="C76" s="21" t="s">
        <v>73</v>
      </c>
      <c r="D76" s="21"/>
      <c r="E76" s="21"/>
      <c r="F76" s="21"/>
      <c r="G76" s="21">
        <f aca="true" t="shared" si="27" ref="G76:L76">G72-G73-G74-G75</f>
        <v>14.525000000000002</v>
      </c>
      <c r="H76" s="21">
        <f t="shared" si="27"/>
        <v>17.44999999999999</v>
      </c>
      <c r="I76" s="21">
        <f t="shared" si="27"/>
        <v>9.799999999999976</v>
      </c>
      <c r="J76" s="21">
        <f t="shared" si="27"/>
        <v>4.699999999999989</v>
      </c>
      <c r="K76" s="21">
        <f t="shared" si="27"/>
        <v>-3.800000000000008</v>
      </c>
      <c r="L76" s="21">
        <f t="shared" si="27"/>
        <v>-7.20000000000001</v>
      </c>
      <c r="M76" s="21"/>
      <c r="N76" s="36"/>
      <c r="O76" s="21"/>
      <c r="P76" s="21"/>
    </row>
    <row r="77" spans="2:16" ht="15">
      <c r="B77" s="35"/>
      <c r="C77" s="23" t="s">
        <v>74</v>
      </c>
      <c r="D77" s="21"/>
      <c r="E77" s="21"/>
      <c r="F77" s="21"/>
      <c r="G77" s="23">
        <f aca="true" t="shared" si="28" ref="G77:L77">G76*TaxRate</f>
        <v>5.08375</v>
      </c>
      <c r="H77" s="23">
        <f t="shared" si="28"/>
        <v>6.1074999999999955</v>
      </c>
      <c r="I77" s="23">
        <f t="shared" si="28"/>
        <v>3.4299999999999913</v>
      </c>
      <c r="J77" s="23">
        <f t="shared" si="28"/>
        <v>1.644999999999996</v>
      </c>
      <c r="K77" s="23">
        <f t="shared" si="28"/>
        <v>-1.3300000000000027</v>
      </c>
      <c r="L77" s="23">
        <f t="shared" si="28"/>
        <v>-2.520000000000003</v>
      </c>
      <c r="M77" s="23"/>
      <c r="N77" s="40"/>
      <c r="O77" s="23"/>
      <c r="P77" s="21"/>
    </row>
    <row r="78" spans="2:16" ht="12.75">
      <c r="B78" s="35"/>
      <c r="C78" s="21" t="s">
        <v>75</v>
      </c>
      <c r="D78" s="21"/>
      <c r="E78" s="21"/>
      <c r="F78" s="21"/>
      <c r="G78" s="21">
        <f aca="true" t="shared" si="29" ref="G78:L78">G76-G77</f>
        <v>9.441250000000002</v>
      </c>
      <c r="H78" s="21">
        <f t="shared" si="29"/>
        <v>11.342499999999994</v>
      </c>
      <c r="I78" s="21">
        <f t="shared" si="29"/>
        <v>6.369999999999985</v>
      </c>
      <c r="J78" s="21">
        <f t="shared" si="29"/>
        <v>3.0549999999999926</v>
      </c>
      <c r="K78" s="21">
        <f t="shared" si="29"/>
        <v>-2.470000000000005</v>
      </c>
      <c r="L78" s="21">
        <f t="shared" si="29"/>
        <v>-4.680000000000007</v>
      </c>
      <c r="M78" s="21"/>
      <c r="N78" s="36"/>
      <c r="O78" s="21"/>
      <c r="P78" s="21"/>
    </row>
    <row r="79" spans="2:16" ht="15">
      <c r="B79" s="35"/>
      <c r="C79" s="23" t="s">
        <v>76</v>
      </c>
      <c r="D79" s="21"/>
      <c r="E79" s="21"/>
      <c r="F79" s="21"/>
      <c r="G79" s="23">
        <f aca="true" t="shared" si="30" ref="G79:L79">G31</f>
        <v>2</v>
      </c>
      <c r="H79" s="23">
        <f t="shared" si="30"/>
        <v>2</v>
      </c>
      <c r="I79" s="23">
        <f t="shared" si="30"/>
        <v>2</v>
      </c>
      <c r="J79" s="23">
        <f t="shared" si="30"/>
        <v>2</v>
      </c>
      <c r="K79" s="23">
        <f t="shared" si="30"/>
        <v>2</v>
      </c>
      <c r="L79" s="23">
        <f t="shared" si="30"/>
        <v>2</v>
      </c>
      <c r="M79" s="23"/>
      <c r="N79" s="40"/>
      <c r="O79" s="23"/>
      <c r="P79" s="21"/>
    </row>
    <row r="80" spans="2:16" ht="12.75">
      <c r="B80" s="35"/>
      <c r="C80" s="21" t="s">
        <v>66</v>
      </c>
      <c r="D80" s="21"/>
      <c r="E80" s="21"/>
      <c r="F80" s="21"/>
      <c r="G80" s="21">
        <f aca="true" t="shared" si="31" ref="G80:L80">G78-G79</f>
        <v>7.441250000000002</v>
      </c>
      <c r="H80" s="21">
        <f t="shared" si="31"/>
        <v>9.342499999999994</v>
      </c>
      <c r="I80" s="21">
        <f t="shared" si="31"/>
        <v>4.369999999999985</v>
      </c>
      <c r="J80" s="21">
        <f t="shared" si="31"/>
        <v>1.0549999999999926</v>
      </c>
      <c r="K80" s="21">
        <f t="shared" si="31"/>
        <v>-4.470000000000005</v>
      </c>
      <c r="L80" s="21">
        <f t="shared" si="31"/>
        <v>-6.680000000000007</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B1:Q82"/>
  <sheetViews>
    <sheetView workbookViewId="0" topLeftCell="A48">
      <selection activeCell="G55" sqref="G55"/>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8" ref="G59:L59">F59+G18-G27</f>
        <v>148.5</v>
      </c>
      <c r="H59" s="21">
        <f t="shared" si="18"/>
        <v>125.55000000000001</v>
      </c>
      <c r="I59" s="21">
        <f t="shared" si="18"/>
        <v>96.95</v>
      </c>
      <c r="J59" s="21">
        <f t="shared" si="18"/>
        <v>75.05</v>
      </c>
      <c r="K59" s="21">
        <f t="shared" si="18"/>
        <v>81.8</v>
      </c>
      <c r="L59" s="21">
        <f t="shared" si="18"/>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19" ref="G61:L61">F61+G62*LTDInt/12-G30</f>
        <v>7.5</v>
      </c>
      <c r="H61" s="21">
        <f t="shared" si="19"/>
        <v>15</v>
      </c>
      <c r="I61" s="21">
        <f t="shared" si="19"/>
        <v>0</v>
      </c>
      <c r="J61" s="21">
        <f t="shared" si="19"/>
        <v>7.5</v>
      </c>
      <c r="K61" s="21">
        <f t="shared" si="19"/>
        <v>15</v>
      </c>
      <c r="L61" s="21">
        <f t="shared" si="19"/>
        <v>0</v>
      </c>
      <c r="M61" s="21"/>
      <c r="N61" s="36"/>
      <c r="O61" s="21"/>
      <c r="P61" s="21"/>
    </row>
    <row r="62" spans="2:16" ht="12.75">
      <c r="B62" s="35"/>
      <c r="C62" s="21" t="s">
        <v>64</v>
      </c>
      <c r="D62" s="21"/>
      <c r="E62" s="21"/>
      <c r="F62" s="21">
        <v>600</v>
      </c>
      <c r="G62" s="21">
        <f aca="true" t="shared" si="20" ref="G62:L63">F62</f>
        <v>600</v>
      </c>
      <c r="H62" s="21">
        <f t="shared" si="20"/>
        <v>600</v>
      </c>
      <c r="I62" s="21">
        <f t="shared" si="20"/>
        <v>600</v>
      </c>
      <c r="J62" s="21">
        <f t="shared" si="20"/>
        <v>600</v>
      </c>
      <c r="K62" s="21">
        <f t="shared" si="20"/>
        <v>600</v>
      </c>
      <c r="L62" s="21">
        <f t="shared" si="20"/>
        <v>600</v>
      </c>
      <c r="M62" s="21"/>
      <c r="N62" s="36"/>
      <c r="O62" s="21"/>
      <c r="P62" s="21"/>
    </row>
    <row r="63" spans="2:16" ht="12.75">
      <c r="B63" s="35"/>
      <c r="C63" s="21" t="s">
        <v>65</v>
      </c>
      <c r="D63" s="21"/>
      <c r="E63" s="21"/>
      <c r="F63" s="21">
        <v>120</v>
      </c>
      <c r="G63" s="21">
        <f t="shared" si="20"/>
        <v>120</v>
      </c>
      <c r="H63" s="21">
        <f t="shared" si="20"/>
        <v>120</v>
      </c>
      <c r="I63" s="21">
        <f t="shared" si="20"/>
        <v>120</v>
      </c>
      <c r="J63" s="21">
        <f t="shared" si="20"/>
        <v>120</v>
      </c>
      <c r="K63" s="21">
        <f t="shared" si="20"/>
        <v>120</v>
      </c>
      <c r="L63" s="21">
        <f t="shared" si="20"/>
        <v>120</v>
      </c>
      <c r="M63" s="21"/>
      <c r="N63" s="36"/>
      <c r="O63" s="21"/>
      <c r="P63" s="21"/>
    </row>
    <row r="64" spans="2:16" ht="15">
      <c r="B64" s="35"/>
      <c r="C64" s="21" t="s">
        <v>66</v>
      </c>
      <c r="D64" s="21"/>
      <c r="E64" s="21"/>
      <c r="F64" s="23">
        <v>347</v>
      </c>
      <c r="G64" s="23">
        <f aca="true" t="shared" si="21" ref="G64:L64">F64+G80</f>
        <v>354.44125</v>
      </c>
      <c r="H64" s="23">
        <f t="shared" si="21"/>
        <v>363.78375</v>
      </c>
      <c r="I64" s="23">
        <f t="shared" si="21"/>
        <v>368.15375</v>
      </c>
      <c r="J64" s="23">
        <f t="shared" si="21"/>
        <v>369.20875</v>
      </c>
      <c r="K64" s="23">
        <f t="shared" si="21"/>
        <v>364.73875</v>
      </c>
      <c r="L64" s="23">
        <f t="shared" si="21"/>
        <v>358.05875</v>
      </c>
      <c r="M64" s="23"/>
      <c r="N64" s="40"/>
      <c r="O64" s="23"/>
      <c r="P64" s="21"/>
    </row>
    <row r="65" spans="2:16" ht="12.75">
      <c r="B65" s="35"/>
      <c r="C65" s="21" t="s">
        <v>67</v>
      </c>
      <c r="D65" s="21"/>
      <c r="E65" s="21"/>
      <c r="F65" s="21">
        <f aca="true" t="shared" si="22" ref="F65:L65">SUM(F59:F64)</f>
        <v>1227</v>
      </c>
      <c r="G65" s="21">
        <f t="shared" si="22"/>
        <v>1230.44125</v>
      </c>
      <c r="H65" s="21">
        <f t="shared" si="22"/>
        <v>1224.33375</v>
      </c>
      <c r="I65" s="21">
        <f t="shared" si="22"/>
        <v>1185.10375</v>
      </c>
      <c r="J65" s="21">
        <f t="shared" si="22"/>
        <v>1171.75875</v>
      </c>
      <c r="K65" s="21">
        <f t="shared" si="22"/>
        <v>1181.53875</v>
      </c>
      <c r="L65" s="21">
        <f t="shared" si="22"/>
        <v>1213.25875</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3" ref="G70:L70">G28</f>
        <v>50</v>
      </c>
      <c r="H70" s="21">
        <f t="shared" si="23"/>
        <v>47.900000000000006</v>
      </c>
      <c r="I70" s="21">
        <f t="shared" si="23"/>
        <v>41.6</v>
      </c>
      <c r="J70" s="21">
        <f t="shared" si="23"/>
        <v>37.400000000000006</v>
      </c>
      <c r="K70" s="21">
        <f t="shared" si="23"/>
        <v>30.400000000000002</v>
      </c>
      <c r="L70" s="21">
        <f t="shared" si="23"/>
        <v>27.6</v>
      </c>
      <c r="M70" s="21"/>
      <c r="N70" s="36"/>
      <c r="O70" s="21"/>
      <c r="P70" s="21"/>
    </row>
    <row r="71" spans="2:16" ht="15">
      <c r="B71" s="35"/>
      <c r="C71" s="23" t="s">
        <v>72</v>
      </c>
      <c r="D71" s="21"/>
      <c r="E71" s="21"/>
      <c r="F71" s="21"/>
      <c r="G71" s="23">
        <f aca="true" t="shared" si="24" ref="G71:L71">F55*Depr</f>
        <v>6.15</v>
      </c>
      <c r="H71" s="23">
        <f t="shared" si="24"/>
        <v>0</v>
      </c>
      <c r="I71" s="23">
        <f t="shared" si="24"/>
        <v>0</v>
      </c>
      <c r="J71" s="23">
        <f t="shared" si="24"/>
        <v>0</v>
      </c>
      <c r="K71" s="23">
        <f t="shared" si="24"/>
        <v>0</v>
      </c>
      <c r="L71" s="23">
        <f t="shared" si="24"/>
        <v>0</v>
      </c>
      <c r="M71" s="23"/>
      <c r="N71" s="40"/>
      <c r="O71" s="23"/>
      <c r="P71" s="21"/>
    </row>
    <row r="72" spans="2:16" ht="12.75">
      <c r="B72" s="35"/>
      <c r="C72" s="21" t="s">
        <v>69</v>
      </c>
      <c r="D72" s="21"/>
      <c r="E72" s="21"/>
      <c r="F72" s="21"/>
      <c r="G72" s="21">
        <f aca="true" t="shared" si="25" ref="G72:L72">G68-G69-G70-G71</f>
        <v>21.35</v>
      </c>
      <c r="H72" s="21">
        <f t="shared" si="25"/>
        <v>24.94999999999999</v>
      </c>
      <c r="I72" s="21">
        <f t="shared" si="25"/>
        <v>17.299999999999976</v>
      </c>
      <c r="J72" s="21">
        <f t="shared" si="25"/>
        <v>12.199999999999989</v>
      </c>
      <c r="K72" s="21">
        <f t="shared" si="25"/>
        <v>3.699999999999992</v>
      </c>
      <c r="L72" s="21">
        <f t="shared" si="25"/>
        <v>0.29999999999999005</v>
      </c>
      <c r="M72" s="21"/>
      <c r="N72" s="36"/>
      <c r="O72" s="21"/>
      <c r="P72" s="21"/>
    </row>
    <row r="73" spans="2:16" ht="12.75">
      <c r="B73" s="35"/>
      <c r="C73" s="21" t="s">
        <v>93</v>
      </c>
      <c r="D73" s="21"/>
      <c r="E73" s="21"/>
      <c r="F73" s="21"/>
      <c r="G73" s="21">
        <f aca="true" t="shared" si="26" ref="G73:L73">F62*LTDInt/12</f>
        <v>7.5</v>
      </c>
      <c r="H73" s="21">
        <f t="shared" si="26"/>
        <v>7.5</v>
      </c>
      <c r="I73" s="21">
        <f t="shared" si="26"/>
        <v>7.5</v>
      </c>
      <c r="J73" s="21">
        <f t="shared" si="26"/>
        <v>7.5</v>
      </c>
      <c r="K73" s="21">
        <f t="shared" si="26"/>
        <v>7.5</v>
      </c>
      <c r="L73" s="21">
        <f t="shared" si="26"/>
        <v>7.5</v>
      </c>
      <c r="M73" s="21"/>
      <c r="N73" s="36"/>
      <c r="O73" s="21"/>
      <c r="P73" s="21"/>
    </row>
    <row r="74" spans="2:16" ht="12.75">
      <c r="B74" s="35"/>
      <c r="C74" s="43" t="s">
        <v>91</v>
      </c>
      <c r="D74" s="21"/>
      <c r="E74" s="21"/>
      <c r="F74" s="21"/>
      <c r="G74" s="21">
        <f aca="true" t="shared" si="27" ref="G74:L74">-STInt*F52</f>
        <v>-0.6749999999999999</v>
      </c>
      <c r="H74" s="21">
        <f t="shared" si="27"/>
        <v>0</v>
      </c>
      <c r="I74" s="21">
        <f t="shared" si="27"/>
        <v>0</v>
      </c>
      <c r="J74" s="21">
        <f t="shared" si="27"/>
        <v>0</v>
      </c>
      <c r="K74" s="21">
        <f t="shared" si="27"/>
        <v>0</v>
      </c>
      <c r="L74" s="21">
        <f t="shared" si="27"/>
        <v>0</v>
      </c>
      <c r="M74" s="21"/>
      <c r="N74" s="36"/>
      <c r="O74" s="21"/>
      <c r="P74" s="21"/>
    </row>
    <row r="75" spans="2:16" ht="15">
      <c r="B75" s="35"/>
      <c r="C75" s="23" t="s">
        <v>94</v>
      </c>
      <c r="D75" s="21"/>
      <c r="E75" s="21"/>
      <c r="F75" s="21"/>
      <c r="G75" s="23">
        <f>STInt*'16'!F60</f>
        <v>0</v>
      </c>
      <c r="H75" s="23">
        <f>STInt*'16'!G60</f>
        <v>0</v>
      </c>
      <c r="I75" s="23">
        <f>STInt*'16'!H60</f>
        <v>0</v>
      </c>
      <c r="J75" s="23">
        <f>STInt*'16'!I60</f>
        <v>0</v>
      </c>
      <c r="K75" s="23">
        <f>STInt*'16'!J60</f>
        <v>0</v>
      </c>
      <c r="L75" s="23">
        <f>STInt*'16'!K60</f>
        <v>0</v>
      </c>
      <c r="M75" s="23"/>
      <c r="N75" s="40"/>
      <c r="O75" s="23"/>
      <c r="P75" s="21"/>
    </row>
    <row r="76" spans="2:16" ht="12.75">
      <c r="B76" s="35"/>
      <c r="C76" s="21" t="s">
        <v>73</v>
      </c>
      <c r="D76" s="21"/>
      <c r="E76" s="21"/>
      <c r="F76" s="21"/>
      <c r="G76" s="21">
        <f aca="true" t="shared" si="28" ref="G76:L76">G72-G73-G74-G75</f>
        <v>14.525000000000002</v>
      </c>
      <c r="H76" s="21">
        <f t="shared" si="28"/>
        <v>17.44999999999999</v>
      </c>
      <c r="I76" s="21">
        <f t="shared" si="28"/>
        <v>9.799999999999976</v>
      </c>
      <c r="J76" s="21">
        <f t="shared" si="28"/>
        <v>4.699999999999989</v>
      </c>
      <c r="K76" s="21">
        <f t="shared" si="28"/>
        <v>-3.800000000000008</v>
      </c>
      <c r="L76" s="21">
        <f t="shared" si="28"/>
        <v>-7.20000000000001</v>
      </c>
      <c r="M76" s="21"/>
      <c r="N76" s="36"/>
      <c r="O76" s="21"/>
      <c r="P76" s="21"/>
    </row>
    <row r="77" spans="2:16" ht="15">
      <c r="B77" s="35"/>
      <c r="C77" s="23" t="s">
        <v>74</v>
      </c>
      <c r="D77" s="21"/>
      <c r="E77" s="21"/>
      <c r="F77" s="21"/>
      <c r="G77" s="23">
        <f aca="true" t="shared" si="29" ref="G77:L77">G76*TaxRate</f>
        <v>5.08375</v>
      </c>
      <c r="H77" s="23">
        <f t="shared" si="29"/>
        <v>6.1074999999999955</v>
      </c>
      <c r="I77" s="23">
        <f t="shared" si="29"/>
        <v>3.4299999999999913</v>
      </c>
      <c r="J77" s="23">
        <f t="shared" si="29"/>
        <v>1.644999999999996</v>
      </c>
      <c r="K77" s="23">
        <f t="shared" si="29"/>
        <v>-1.3300000000000027</v>
      </c>
      <c r="L77" s="23">
        <f t="shared" si="29"/>
        <v>-2.520000000000003</v>
      </c>
      <c r="M77" s="23"/>
      <c r="N77" s="40"/>
      <c r="O77" s="23"/>
      <c r="P77" s="21"/>
    </row>
    <row r="78" spans="2:16" ht="12.75">
      <c r="B78" s="35"/>
      <c r="C78" s="21" t="s">
        <v>75</v>
      </c>
      <c r="D78" s="21"/>
      <c r="E78" s="21"/>
      <c r="F78" s="21"/>
      <c r="G78" s="21">
        <f aca="true" t="shared" si="30" ref="G78:L78">G76-G77</f>
        <v>9.441250000000002</v>
      </c>
      <c r="H78" s="21">
        <f t="shared" si="30"/>
        <v>11.342499999999994</v>
      </c>
      <c r="I78" s="21">
        <f t="shared" si="30"/>
        <v>6.369999999999985</v>
      </c>
      <c r="J78" s="21">
        <f t="shared" si="30"/>
        <v>3.0549999999999926</v>
      </c>
      <c r="K78" s="21">
        <f t="shared" si="30"/>
        <v>-2.470000000000005</v>
      </c>
      <c r="L78" s="21">
        <f t="shared" si="30"/>
        <v>-4.680000000000007</v>
      </c>
      <c r="M78" s="21"/>
      <c r="N78" s="36"/>
      <c r="O78" s="21"/>
      <c r="P78" s="21"/>
    </row>
    <row r="79" spans="2:16" ht="15">
      <c r="B79" s="35"/>
      <c r="C79" s="23" t="s">
        <v>76</v>
      </c>
      <c r="D79" s="21"/>
      <c r="E79" s="21"/>
      <c r="F79" s="21"/>
      <c r="G79" s="23">
        <f aca="true" t="shared" si="31" ref="G79:L79">G31</f>
        <v>2</v>
      </c>
      <c r="H79" s="23">
        <f t="shared" si="31"/>
        <v>2</v>
      </c>
      <c r="I79" s="23">
        <f t="shared" si="31"/>
        <v>2</v>
      </c>
      <c r="J79" s="23">
        <f t="shared" si="31"/>
        <v>2</v>
      </c>
      <c r="K79" s="23">
        <f t="shared" si="31"/>
        <v>2</v>
      </c>
      <c r="L79" s="23">
        <f t="shared" si="31"/>
        <v>2</v>
      </c>
      <c r="M79" s="23"/>
      <c r="N79" s="40"/>
      <c r="O79" s="23"/>
      <c r="P79" s="21"/>
    </row>
    <row r="80" spans="2:16" ht="12.75">
      <c r="B80" s="35"/>
      <c r="C80" s="21" t="s">
        <v>66</v>
      </c>
      <c r="D80" s="21"/>
      <c r="E80" s="21"/>
      <c r="F80" s="21"/>
      <c r="G80" s="21">
        <f aca="true" t="shared" si="32" ref="G80:L80">G78-G79</f>
        <v>7.441250000000002</v>
      </c>
      <c r="H80" s="21">
        <f t="shared" si="32"/>
        <v>9.342499999999994</v>
      </c>
      <c r="I80" s="21">
        <f t="shared" si="32"/>
        <v>4.369999999999985</v>
      </c>
      <c r="J80" s="21">
        <f t="shared" si="32"/>
        <v>1.0549999999999926</v>
      </c>
      <c r="K80" s="21">
        <f t="shared" si="32"/>
        <v>-4.470000000000005</v>
      </c>
      <c r="L80" s="21">
        <f t="shared" si="32"/>
        <v>-6.680000000000007</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B1:Q82"/>
  <sheetViews>
    <sheetView workbookViewId="0" topLeftCell="A48">
      <selection activeCell="G54" sqref="G54"/>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f aca="true" t="shared" si="17" ref="G55:L55">F55-G71+G32</f>
        <v>608.85</v>
      </c>
      <c r="H55" s="23">
        <f t="shared" si="17"/>
        <v>602.7615000000001</v>
      </c>
      <c r="I55" s="23">
        <f t="shared" si="17"/>
        <v>596.7338850000001</v>
      </c>
      <c r="J55" s="23">
        <f t="shared" si="17"/>
        <v>740.7665461500001</v>
      </c>
      <c r="K55" s="23">
        <f t="shared" si="17"/>
        <v>733.3588806885001</v>
      </c>
      <c r="L55" s="23">
        <f t="shared" si="17"/>
        <v>726.0252918816151</v>
      </c>
      <c r="M55" s="23"/>
      <c r="N55" s="40"/>
      <c r="O55" s="23"/>
      <c r="P55" s="21"/>
    </row>
    <row r="56" spans="2:16" ht="12.75">
      <c r="B56" s="35"/>
      <c r="C56" s="21" t="s">
        <v>60</v>
      </c>
      <c r="D56" s="21"/>
      <c r="E56" s="21"/>
      <c r="F56" s="21">
        <f aca="true" t="shared" si="18" ref="F56:L56">SUM(F51:F55)</f>
        <v>1227</v>
      </c>
      <c r="G56" s="21">
        <f t="shared" si="18"/>
        <v>608.85</v>
      </c>
      <c r="H56" s="21">
        <f t="shared" si="18"/>
        <v>602.7615000000001</v>
      </c>
      <c r="I56" s="21">
        <f t="shared" si="18"/>
        <v>596.7338850000001</v>
      </c>
      <c r="J56" s="21">
        <f t="shared" si="18"/>
        <v>740.7665461500001</v>
      </c>
      <c r="K56" s="21">
        <f t="shared" si="18"/>
        <v>733.3588806885001</v>
      </c>
      <c r="L56" s="21">
        <f t="shared" si="18"/>
        <v>726.0252918816151</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19" ref="G59:L59">F59+G18-G27</f>
        <v>148.5</v>
      </c>
      <c r="H59" s="21">
        <f t="shared" si="19"/>
        <v>125.55000000000001</v>
      </c>
      <c r="I59" s="21">
        <f t="shared" si="19"/>
        <v>96.95</v>
      </c>
      <c r="J59" s="21">
        <f t="shared" si="19"/>
        <v>75.05</v>
      </c>
      <c r="K59" s="21">
        <f t="shared" si="19"/>
        <v>81.8</v>
      </c>
      <c r="L59" s="21">
        <f t="shared" si="19"/>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0" ref="G61:L61">F61+G62*LTDInt/12-G30</f>
        <v>7.5</v>
      </c>
      <c r="H61" s="21">
        <f t="shared" si="20"/>
        <v>15</v>
      </c>
      <c r="I61" s="21">
        <f t="shared" si="20"/>
        <v>0</v>
      </c>
      <c r="J61" s="21">
        <f t="shared" si="20"/>
        <v>7.5</v>
      </c>
      <c r="K61" s="21">
        <f t="shared" si="20"/>
        <v>15</v>
      </c>
      <c r="L61" s="21">
        <f t="shared" si="20"/>
        <v>0</v>
      </c>
      <c r="M61" s="21"/>
      <c r="N61" s="36"/>
      <c r="O61" s="21"/>
      <c r="P61" s="21"/>
    </row>
    <row r="62" spans="2:16" ht="12.75">
      <c r="B62" s="35"/>
      <c r="C62" s="21" t="s">
        <v>64</v>
      </c>
      <c r="D62" s="21"/>
      <c r="E62" s="21"/>
      <c r="F62" s="21">
        <v>600</v>
      </c>
      <c r="G62" s="21">
        <f aca="true" t="shared" si="21" ref="G62:L63">F62</f>
        <v>600</v>
      </c>
      <c r="H62" s="21">
        <f t="shared" si="21"/>
        <v>600</v>
      </c>
      <c r="I62" s="21">
        <f t="shared" si="21"/>
        <v>600</v>
      </c>
      <c r="J62" s="21">
        <f t="shared" si="21"/>
        <v>600</v>
      </c>
      <c r="K62" s="21">
        <f t="shared" si="21"/>
        <v>600</v>
      </c>
      <c r="L62" s="21">
        <f t="shared" si="21"/>
        <v>600</v>
      </c>
      <c r="M62" s="21"/>
      <c r="N62" s="36"/>
      <c r="O62" s="21"/>
      <c r="P62" s="21"/>
    </row>
    <row r="63" spans="2:16" ht="12.75">
      <c r="B63" s="35"/>
      <c r="C63" s="21" t="s">
        <v>65</v>
      </c>
      <c r="D63" s="21"/>
      <c r="E63" s="21"/>
      <c r="F63" s="21">
        <v>120</v>
      </c>
      <c r="G63" s="21">
        <f t="shared" si="21"/>
        <v>120</v>
      </c>
      <c r="H63" s="21">
        <f t="shared" si="21"/>
        <v>120</v>
      </c>
      <c r="I63" s="21">
        <f t="shared" si="21"/>
        <v>120</v>
      </c>
      <c r="J63" s="21">
        <f t="shared" si="21"/>
        <v>120</v>
      </c>
      <c r="K63" s="21">
        <f t="shared" si="21"/>
        <v>120</v>
      </c>
      <c r="L63" s="21">
        <f t="shared" si="21"/>
        <v>120</v>
      </c>
      <c r="M63" s="21"/>
      <c r="N63" s="36"/>
      <c r="O63" s="21"/>
      <c r="P63" s="21"/>
    </row>
    <row r="64" spans="2:16" ht="15">
      <c r="B64" s="35"/>
      <c r="C64" s="21" t="s">
        <v>66</v>
      </c>
      <c r="D64" s="21"/>
      <c r="E64" s="21"/>
      <c r="F64" s="23">
        <v>347</v>
      </c>
      <c r="G64" s="23">
        <f aca="true" t="shared" si="22" ref="G64:L64">F64+G80</f>
        <v>354.44125</v>
      </c>
      <c r="H64" s="23">
        <f t="shared" si="22"/>
        <v>359.826225</v>
      </c>
      <c r="I64" s="23">
        <f t="shared" si="22"/>
        <v>360.27827525</v>
      </c>
      <c r="J64" s="23">
        <f t="shared" si="22"/>
        <v>357.45450499749995</v>
      </c>
      <c r="K64" s="23">
        <f t="shared" si="22"/>
        <v>348.16952244752497</v>
      </c>
      <c r="L64" s="23">
        <f t="shared" si="22"/>
        <v>336.7226897230497</v>
      </c>
      <c r="M64" s="23"/>
      <c r="N64" s="40"/>
      <c r="O64" s="23"/>
      <c r="P64" s="21"/>
    </row>
    <row r="65" spans="2:16" ht="12.75">
      <c r="B65" s="35"/>
      <c r="C65" s="21" t="s">
        <v>67</v>
      </c>
      <c r="D65" s="21"/>
      <c r="E65" s="21"/>
      <c r="F65" s="21">
        <f aca="true" t="shared" si="23" ref="F65:L65">SUM(F59:F64)</f>
        <v>1227</v>
      </c>
      <c r="G65" s="21">
        <f t="shared" si="23"/>
        <v>1230.44125</v>
      </c>
      <c r="H65" s="21">
        <f t="shared" si="23"/>
        <v>1220.376225</v>
      </c>
      <c r="I65" s="21">
        <f t="shared" si="23"/>
        <v>1177.22827525</v>
      </c>
      <c r="J65" s="21">
        <f t="shared" si="23"/>
        <v>1160.0045049975</v>
      </c>
      <c r="K65" s="21">
        <f t="shared" si="23"/>
        <v>1164.969522447525</v>
      </c>
      <c r="L65" s="21">
        <f t="shared" si="23"/>
        <v>1191.9226897230496</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4" ref="G70:L70">G28</f>
        <v>50</v>
      </c>
      <c r="H70" s="21">
        <f t="shared" si="24"/>
        <v>47.900000000000006</v>
      </c>
      <c r="I70" s="21">
        <f t="shared" si="24"/>
        <v>41.6</v>
      </c>
      <c r="J70" s="21">
        <f t="shared" si="24"/>
        <v>37.400000000000006</v>
      </c>
      <c r="K70" s="21">
        <f t="shared" si="24"/>
        <v>30.400000000000002</v>
      </c>
      <c r="L70" s="21">
        <f t="shared" si="24"/>
        <v>27.6</v>
      </c>
      <c r="M70" s="21"/>
      <c r="N70" s="36"/>
      <c r="O70" s="21"/>
      <c r="P70" s="21"/>
    </row>
    <row r="71" spans="2:16" ht="15">
      <c r="B71" s="35"/>
      <c r="C71" s="23" t="s">
        <v>72</v>
      </c>
      <c r="D71" s="21"/>
      <c r="E71" s="21"/>
      <c r="F71" s="21"/>
      <c r="G71" s="23">
        <f aca="true" t="shared" si="25" ref="G71:L71">F55*Depr</f>
        <v>6.15</v>
      </c>
      <c r="H71" s="23">
        <f t="shared" si="25"/>
        <v>6.088500000000001</v>
      </c>
      <c r="I71" s="23">
        <f t="shared" si="25"/>
        <v>6.027615000000001</v>
      </c>
      <c r="J71" s="23">
        <f t="shared" si="25"/>
        <v>5.967338850000001</v>
      </c>
      <c r="K71" s="23">
        <f t="shared" si="25"/>
        <v>7.407665461500001</v>
      </c>
      <c r="L71" s="23">
        <f t="shared" si="25"/>
        <v>7.333588806885001</v>
      </c>
      <c r="M71" s="23"/>
      <c r="N71" s="40"/>
      <c r="O71" s="23"/>
      <c r="P71" s="21"/>
    </row>
    <row r="72" spans="2:16" ht="12.75">
      <c r="B72" s="35"/>
      <c r="C72" s="21" t="s">
        <v>69</v>
      </c>
      <c r="D72" s="21"/>
      <c r="E72" s="21"/>
      <c r="F72" s="21"/>
      <c r="G72" s="21">
        <f aca="true" t="shared" si="26" ref="G72:L72">G68-G69-G70-G71</f>
        <v>21.35</v>
      </c>
      <c r="H72" s="21">
        <f t="shared" si="26"/>
        <v>18.86149999999999</v>
      </c>
      <c r="I72" s="21">
        <f t="shared" si="26"/>
        <v>11.272384999999975</v>
      </c>
      <c r="J72" s="21">
        <f t="shared" si="26"/>
        <v>6.232661149999988</v>
      </c>
      <c r="K72" s="21">
        <f t="shared" si="26"/>
        <v>-3.7076654615000084</v>
      </c>
      <c r="L72" s="21">
        <f t="shared" si="26"/>
        <v>-7.033588806885011</v>
      </c>
      <c r="M72" s="21"/>
      <c r="N72" s="36"/>
      <c r="O72" s="21"/>
      <c r="P72" s="21"/>
    </row>
    <row r="73" spans="2:16" ht="12.75">
      <c r="B73" s="35"/>
      <c r="C73" s="21" t="s">
        <v>93</v>
      </c>
      <c r="D73" s="21"/>
      <c r="E73" s="21"/>
      <c r="F73" s="21"/>
      <c r="G73" s="21">
        <f aca="true" t="shared" si="27" ref="G73:L73">F62*LTDInt/12</f>
        <v>7.5</v>
      </c>
      <c r="H73" s="21">
        <f t="shared" si="27"/>
        <v>7.5</v>
      </c>
      <c r="I73" s="21">
        <f t="shared" si="27"/>
        <v>7.5</v>
      </c>
      <c r="J73" s="21">
        <f t="shared" si="27"/>
        <v>7.5</v>
      </c>
      <c r="K73" s="21">
        <f t="shared" si="27"/>
        <v>7.5</v>
      </c>
      <c r="L73" s="21">
        <f t="shared" si="27"/>
        <v>7.5</v>
      </c>
      <c r="M73" s="21"/>
      <c r="N73" s="36"/>
      <c r="O73" s="21"/>
      <c r="P73" s="21"/>
    </row>
    <row r="74" spans="2:16" ht="12.75">
      <c r="B74" s="35"/>
      <c r="C74" s="43" t="s">
        <v>91</v>
      </c>
      <c r="D74" s="21"/>
      <c r="E74" s="21"/>
      <c r="F74" s="21"/>
      <c r="G74" s="21">
        <f aca="true" t="shared" si="28" ref="G74:L74">-STInt*F52</f>
        <v>-0.6749999999999999</v>
      </c>
      <c r="H74" s="21">
        <f t="shared" si="28"/>
        <v>0</v>
      </c>
      <c r="I74" s="21">
        <f t="shared" si="28"/>
        <v>0</v>
      </c>
      <c r="J74" s="21">
        <f t="shared" si="28"/>
        <v>0</v>
      </c>
      <c r="K74" s="21">
        <f t="shared" si="28"/>
        <v>0</v>
      </c>
      <c r="L74" s="21">
        <f t="shared" si="28"/>
        <v>0</v>
      </c>
      <c r="M74" s="21"/>
      <c r="N74" s="36"/>
      <c r="O74" s="21"/>
      <c r="P74" s="21"/>
    </row>
    <row r="75" spans="2:16" ht="15">
      <c r="B75" s="35"/>
      <c r="C75" s="23" t="s">
        <v>94</v>
      </c>
      <c r="D75" s="21"/>
      <c r="E75" s="21"/>
      <c r="F75" s="21"/>
      <c r="G75" s="23">
        <f>STInt*'16'!F60</f>
        <v>0</v>
      </c>
      <c r="H75" s="23">
        <f>STInt*'16'!G60</f>
        <v>0</v>
      </c>
      <c r="I75" s="23">
        <f>STInt*'16'!H60</f>
        <v>0</v>
      </c>
      <c r="J75" s="23">
        <f>STInt*'16'!I60</f>
        <v>0</v>
      </c>
      <c r="K75" s="23">
        <f>STInt*'16'!J60</f>
        <v>0</v>
      </c>
      <c r="L75" s="23">
        <f>STInt*'16'!K60</f>
        <v>0</v>
      </c>
      <c r="M75" s="23"/>
      <c r="N75" s="40"/>
      <c r="O75" s="23"/>
      <c r="P75" s="21"/>
    </row>
    <row r="76" spans="2:16" ht="12.75">
      <c r="B76" s="35"/>
      <c r="C76" s="21" t="s">
        <v>73</v>
      </c>
      <c r="D76" s="21"/>
      <c r="E76" s="21"/>
      <c r="F76" s="21"/>
      <c r="G76" s="21">
        <f aca="true" t="shared" si="29" ref="G76:L76">G72-G73-G74-G75</f>
        <v>14.525000000000002</v>
      </c>
      <c r="H76" s="21">
        <f t="shared" si="29"/>
        <v>11.361499999999989</v>
      </c>
      <c r="I76" s="21">
        <f t="shared" si="29"/>
        <v>3.772384999999975</v>
      </c>
      <c r="J76" s="21">
        <f t="shared" si="29"/>
        <v>-1.2673388500000122</v>
      </c>
      <c r="K76" s="21">
        <f t="shared" si="29"/>
        <v>-11.207665461500008</v>
      </c>
      <c r="L76" s="21">
        <f t="shared" si="29"/>
        <v>-14.53358880688501</v>
      </c>
      <c r="M76" s="21"/>
      <c r="N76" s="36"/>
      <c r="O76" s="21"/>
      <c r="P76" s="21"/>
    </row>
    <row r="77" spans="2:16" ht="15">
      <c r="B77" s="35"/>
      <c r="C77" s="23" t="s">
        <v>74</v>
      </c>
      <c r="D77" s="21"/>
      <c r="E77" s="21"/>
      <c r="F77" s="21"/>
      <c r="G77" s="23">
        <f aca="true" t="shared" si="30" ref="G77:L77">G76*TaxRate</f>
        <v>5.08375</v>
      </c>
      <c r="H77" s="23">
        <f t="shared" si="30"/>
        <v>3.9765249999999956</v>
      </c>
      <c r="I77" s="23">
        <f t="shared" si="30"/>
        <v>1.3203347499999911</v>
      </c>
      <c r="J77" s="23">
        <f t="shared" si="30"/>
        <v>-0.44356859750000427</v>
      </c>
      <c r="K77" s="23">
        <f t="shared" si="30"/>
        <v>-3.9226829115250026</v>
      </c>
      <c r="L77" s="23">
        <f t="shared" si="30"/>
        <v>-5.086756082409753</v>
      </c>
      <c r="M77" s="23"/>
      <c r="N77" s="40"/>
      <c r="O77" s="23"/>
      <c r="P77" s="21"/>
    </row>
    <row r="78" spans="2:16" ht="12.75">
      <c r="B78" s="35"/>
      <c r="C78" s="21" t="s">
        <v>75</v>
      </c>
      <c r="D78" s="21"/>
      <c r="E78" s="21"/>
      <c r="F78" s="21"/>
      <c r="G78" s="21">
        <f aca="true" t="shared" si="31" ref="G78:L78">G76-G77</f>
        <v>9.441250000000002</v>
      </c>
      <c r="H78" s="21">
        <f t="shared" si="31"/>
        <v>7.384974999999994</v>
      </c>
      <c r="I78" s="21">
        <f t="shared" si="31"/>
        <v>2.452050249999984</v>
      </c>
      <c r="J78" s="21">
        <f t="shared" si="31"/>
        <v>-0.8237702525000079</v>
      </c>
      <c r="K78" s="21">
        <f t="shared" si="31"/>
        <v>-7.284982549975005</v>
      </c>
      <c r="L78" s="21">
        <f t="shared" si="31"/>
        <v>-9.446832724475257</v>
      </c>
      <c r="M78" s="21"/>
      <c r="N78" s="36"/>
      <c r="O78" s="21"/>
      <c r="P78" s="21"/>
    </row>
    <row r="79" spans="2:16" ht="15">
      <c r="B79" s="35"/>
      <c r="C79" s="23" t="s">
        <v>76</v>
      </c>
      <c r="D79" s="21"/>
      <c r="E79" s="21"/>
      <c r="F79" s="21"/>
      <c r="G79" s="23">
        <f aca="true" t="shared" si="32" ref="G79:L79">G31</f>
        <v>2</v>
      </c>
      <c r="H79" s="23">
        <f t="shared" si="32"/>
        <v>2</v>
      </c>
      <c r="I79" s="23">
        <f t="shared" si="32"/>
        <v>2</v>
      </c>
      <c r="J79" s="23">
        <f t="shared" si="32"/>
        <v>2</v>
      </c>
      <c r="K79" s="23">
        <f t="shared" si="32"/>
        <v>2</v>
      </c>
      <c r="L79" s="23">
        <f t="shared" si="32"/>
        <v>2</v>
      </c>
      <c r="M79" s="23"/>
      <c r="N79" s="40"/>
      <c r="O79" s="23"/>
      <c r="P79" s="21"/>
    </row>
    <row r="80" spans="2:16" ht="12.75">
      <c r="B80" s="35"/>
      <c r="C80" s="21" t="s">
        <v>66</v>
      </c>
      <c r="D80" s="21"/>
      <c r="E80" s="21"/>
      <c r="F80" s="21"/>
      <c r="G80" s="21">
        <f aca="true" t="shared" si="33" ref="G80:L80">G78-G79</f>
        <v>7.441250000000002</v>
      </c>
      <c r="H80" s="21">
        <f t="shared" si="33"/>
        <v>5.384974999999994</v>
      </c>
      <c r="I80" s="21">
        <f t="shared" si="33"/>
        <v>0.4520502499999841</v>
      </c>
      <c r="J80" s="21">
        <f t="shared" si="33"/>
        <v>-2.823770252500008</v>
      </c>
      <c r="K80" s="21">
        <f t="shared" si="33"/>
        <v>-9.284982549975005</v>
      </c>
      <c r="L80" s="21">
        <f t="shared" si="33"/>
        <v>-11.446832724475257</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B1:Q82"/>
  <sheetViews>
    <sheetView workbookViewId="0" topLeftCell="A47">
      <selection activeCell="G53" sqref="G53"/>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f aca="true" t="shared" si="17" ref="G54:L54">F54+G18-G69</f>
        <v>132.25</v>
      </c>
      <c r="H54" s="21">
        <f t="shared" si="17"/>
        <v>94.75</v>
      </c>
      <c r="I54" s="21">
        <f t="shared" si="17"/>
        <v>59.24999999999997</v>
      </c>
      <c r="J54" s="21">
        <f t="shared" si="17"/>
        <v>22.249999999999943</v>
      </c>
      <c r="K54" s="21">
        <f t="shared" si="17"/>
        <v>25.99999999999993</v>
      </c>
      <c r="L54" s="21">
        <f t="shared" si="17"/>
        <v>96.74999999999993</v>
      </c>
      <c r="M54" s="21"/>
      <c r="N54" s="36"/>
      <c r="O54" s="21"/>
      <c r="P54" s="21"/>
    </row>
    <row r="55" spans="2:16" ht="15">
      <c r="B55" s="35"/>
      <c r="C55" s="21" t="s">
        <v>59</v>
      </c>
      <c r="D55" s="21"/>
      <c r="E55" s="21"/>
      <c r="F55" s="23">
        <v>615</v>
      </c>
      <c r="G55" s="23">
        <f aca="true" t="shared" si="18" ref="G55:L55">F55-G71+G32</f>
        <v>608.85</v>
      </c>
      <c r="H55" s="23">
        <f t="shared" si="18"/>
        <v>602.7615000000001</v>
      </c>
      <c r="I55" s="23">
        <f t="shared" si="18"/>
        <v>596.7338850000001</v>
      </c>
      <c r="J55" s="23">
        <f t="shared" si="18"/>
        <v>740.7665461500001</v>
      </c>
      <c r="K55" s="23">
        <f t="shared" si="18"/>
        <v>733.3588806885001</v>
      </c>
      <c r="L55" s="23">
        <f t="shared" si="18"/>
        <v>726.0252918816151</v>
      </c>
      <c r="M55" s="23"/>
      <c r="N55" s="40"/>
      <c r="O55" s="23"/>
      <c r="P55" s="21"/>
    </row>
    <row r="56" spans="2:16" ht="12.75">
      <c r="B56" s="35"/>
      <c r="C56" s="21" t="s">
        <v>60</v>
      </c>
      <c r="D56" s="21"/>
      <c r="E56" s="21"/>
      <c r="F56" s="21">
        <f aca="true" t="shared" si="19" ref="F56:L56">SUM(F51:F55)</f>
        <v>1227</v>
      </c>
      <c r="G56" s="21">
        <f t="shared" si="19"/>
        <v>741.1</v>
      </c>
      <c r="H56" s="21">
        <f t="shared" si="19"/>
        <v>697.5115000000001</v>
      </c>
      <c r="I56" s="21">
        <f t="shared" si="19"/>
        <v>655.9838850000001</v>
      </c>
      <c r="J56" s="21">
        <f t="shared" si="19"/>
        <v>763.0165461500001</v>
      </c>
      <c r="K56" s="21">
        <f t="shared" si="19"/>
        <v>759.3588806885</v>
      </c>
      <c r="L56" s="21">
        <f t="shared" si="19"/>
        <v>822.775291881615</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0" ref="G59:L59">F59+G18-G27</f>
        <v>148.5</v>
      </c>
      <c r="H59" s="21">
        <f t="shared" si="20"/>
        <v>125.55000000000001</v>
      </c>
      <c r="I59" s="21">
        <f t="shared" si="20"/>
        <v>96.95</v>
      </c>
      <c r="J59" s="21">
        <f t="shared" si="20"/>
        <v>75.05</v>
      </c>
      <c r="K59" s="21">
        <f t="shared" si="20"/>
        <v>81.8</v>
      </c>
      <c r="L59" s="21">
        <f t="shared" si="20"/>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1" ref="G61:L61">F61+G62*LTDInt/12-G30</f>
        <v>7.5</v>
      </c>
      <c r="H61" s="21">
        <f t="shared" si="21"/>
        <v>15</v>
      </c>
      <c r="I61" s="21">
        <f t="shared" si="21"/>
        <v>0</v>
      </c>
      <c r="J61" s="21">
        <f t="shared" si="21"/>
        <v>7.5</v>
      </c>
      <c r="K61" s="21">
        <f t="shared" si="21"/>
        <v>15</v>
      </c>
      <c r="L61" s="21">
        <f t="shared" si="21"/>
        <v>0</v>
      </c>
      <c r="M61" s="21"/>
      <c r="N61" s="36"/>
      <c r="O61" s="21"/>
      <c r="P61" s="21"/>
    </row>
    <row r="62" spans="2:16" ht="12.75">
      <c r="B62" s="35"/>
      <c r="C62" s="21" t="s">
        <v>64</v>
      </c>
      <c r="D62" s="21"/>
      <c r="E62" s="21"/>
      <c r="F62" s="21">
        <v>600</v>
      </c>
      <c r="G62" s="21">
        <f aca="true" t="shared" si="22" ref="G62:L63">F62</f>
        <v>600</v>
      </c>
      <c r="H62" s="21">
        <f t="shared" si="22"/>
        <v>600</v>
      </c>
      <c r="I62" s="21">
        <f t="shared" si="22"/>
        <v>600</v>
      </c>
      <c r="J62" s="21">
        <f t="shared" si="22"/>
        <v>600</v>
      </c>
      <c r="K62" s="21">
        <f t="shared" si="22"/>
        <v>600</v>
      </c>
      <c r="L62" s="21">
        <f t="shared" si="22"/>
        <v>600</v>
      </c>
      <c r="M62" s="21"/>
      <c r="N62" s="36"/>
      <c r="O62" s="21"/>
      <c r="P62" s="21"/>
    </row>
    <row r="63" spans="2:16" ht="12.75">
      <c r="B63" s="35"/>
      <c r="C63" s="21" t="s">
        <v>65</v>
      </c>
      <c r="D63" s="21"/>
      <c r="E63" s="21"/>
      <c r="F63" s="21">
        <v>120</v>
      </c>
      <c r="G63" s="21">
        <f t="shared" si="22"/>
        <v>120</v>
      </c>
      <c r="H63" s="21">
        <f t="shared" si="22"/>
        <v>120</v>
      </c>
      <c r="I63" s="21">
        <f t="shared" si="22"/>
        <v>120</v>
      </c>
      <c r="J63" s="21">
        <f t="shared" si="22"/>
        <v>120</v>
      </c>
      <c r="K63" s="21">
        <f t="shared" si="22"/>
        <v>120</v>
      </c>
      <c r="L63" s="21">
        <f t="shared" si="22"/>
        <v>120</v>
      </c>
      <c r="M63" s="21"/>
      <c r="N63" s="36"/>
      <c r="O63" s="21"/>
      <c r="P63" s="21"/>
    </row>
    <row r="64" spans="2:16" ht="15">
      <c r="B64" s="35"/>
      <c r="C64" s="21" t="s">
        <v>66</v>
      </c>
      <c r="D64" s="21"/>
      <c r="E64" s="21"/>
      <c r="F64" s="23">
        <v>347</v>
      </c>
      <c r="G64" s="23">
        <f aca="true" t="shared" si="23" ref="G64:L64">F64+G80</f>
        <v>363.6975</v>
      </c>
      <c r="H64" s="23">
        <f t="shared" si="23"/>
        <v>377.03552499999995</v>
      </c>
      <c r="I64" s="23">
        <f t="shared" si="23"/>
        <v>380.1282447499999</v>
      </c>
      <c r="J64" s="23">
        <f t="shared" si="23"/>
        <v>376.4173373024999</v>
      </c>
      <c r="K64" s="23">
        <f t="shared" si="23"/>
        <v>359.2869889294749</v>
      </c>
      <c r="L64" s="23">
        <f t="shared" si="23"/>
        <v>337.66664404018013</v>
      </c>
      <c r="M64" s="23"/>
      <c r="N64" s="40"/>
      <c r="O64" s="23"/>
      <c r="P64" s="21"/>
    </row>
    <row r="65" spans="2:16" ht="12.75">
      <c r="B65" s="35"/>
      <c r="C65" s="21" t="s">
        <v>67</v>
      </c>
      <c r="D65" s="21"/>
      <c r="E65" s="21"/>
      <c r="F65" s="21">
        <f aca="true" t="shared" si="24" ref="F65:L65">SUM(F59:F64)</f>
        <v>1227</v>
      </c>
      <c r="G65" s="21">
        <f t="shared" si="24"/>
        <v>1239.6975</v>
      </c>
      <c r="H65" s="21">
        <f t="shared" si="24"/>
        <v>1237.585525</v>
      </c>
      <c r="I65" s="21">
        <f t="shared" si="24"/>
        <v>1197.07824475</v>
      </c>
      <c r="J65" s="21">
        <f t="shared" si="24"/>
        <v>1178.9673373024998</v>
      </c>
      <c r="K65" s="21">
        <f t="shared" si="24"/>
        <v>1176.086988929475</v>
      </c>
      <c r="L65" s="21">
        <f t="shared" si="24"/>
        <v>1192.8666440401803</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5" ref="G70:L70">G28</f>
        <v>50</v>
      </c>
      <c r="H70" s="21">
        <f t="shared" si="25"/>
        <v>47.900000000000006</v>
      </c>
      <c r="I70" s="21">
        <f t="shared" si="25"/>
        <v>41.6</v>
      </c>
      <c r="J70" s="21">
        <f t="shared" si="25"/>
        <v>37.400000000000006</v>
      </c>
      <c r="K70" s="21">
        <f t="shared" si="25"/>
        <v>30.400000000000002</v>
      </c>
      <c r="L70" s="21">
        <f t="shared" si="25"/>
        <v>27.6</v>
      </c>
      <c r="M70" s="21"/>
      <c r="N70" s="36"/>
      <c r="O70" s="21"/>
      <c r="P70" s="21"/>
    </row>
    <row r="71" spans="2:16" ht="15">
      <c r="B71" s="35"/>
      <c r="C71" s="23" t="s">
        <v>72</v>
      </c>
      <c r="D71" s="21"/>
      <c r="E71" s="21"/>
      <c r="F71" s="21"/>
      <c r="G71" s="23">
        <f aca="true" t="shared" si="26" ref="G71:L71">F55*Depr</f>
        <v>6.15</v>
      </c>
      <c r="H71" s="23">
        <f t="shared" si="26"/>
        <v>6.088500000000001</v>
      </c>
      <c r="I71" s="23">
        <f t="shared" si="26"/>
        <v>6.027615000000001</v>
      </c>
      <c r="J71" s="23">
        <f t="shared" si="26"/>
        <v>5.967338850000001</v>
      </c>
      <c r="K71" s="23">
        <f t="shared" si="26"/>
        <v>7.407665461500001</v>
      </c>
      <c r="L71" s="23">
        <f t="shared" si="26"/>
        <v>7.333588806885001</v>
      </c>
      <c r="M71" s="23"/>
      <c r="N71" s="40"/>
      <c r="O71" s="23"/>
      <c r="P71" s="21"/>
    </row>
    <row r="72" spans="2:16" ht="12.75">
      <c r="B72" s="35"/>
      <c r="C72" s="21" t="s">
        <v>69</v>
      </c>
      <c r="D72" s="21"/>
      <c r="E72" s="21"/>
      <c r="F72" s="21"/>
      <c r="G72" s="21">
        <f aca="true" t="shared" si="27" ref="G72:L72">G68-G69-G70-G71</f>
        <v>21.35</v>
      </c>
      <c r="H72" s="21">
        <f t="shared" si="27"/>
        <v>18.86149999999999</v>
      </c>
      <c r="I72" s="21">
        <f t="shared" si="27"/>
        <v>11.272384999999975</v>
      </c>
      <c r="J72" s="21">
        <f t="shared" si="27"/>
        <v>6.232661149999988</v>
      </c>
      <c r="K72" s="21">
        <f t="shared" si="27"/>
        <v>-3.7076654615000084</v>
      </c>
      <c r="L72" s="21">
        <f t="shared" si="27"/>
        <v>-7.033588806885011</v>
      </c>
      <c r="M72" s="21"/>
      <c r="N72" s="36"/>
      <c r="O72" s="21"/>
      <c r="P72" s="21"/>
    </row>
    <row r="73" spans="2:16" ht="12.75">
      <c r="B73" s="35"/>
      <c r="C73" s="21" t="s">
        <v>93</v>
      </c>
      <c r="D73" s="21"/>
      <c r="E73" s="21"/>
      <c r="F73" s="21"/>
      <c r="G73" s="21">
        <f aca="true" t="shared" si="28" ref="G73:L73">F62*LTDInt/12</f>
        <v>7.5</v>
      </c>
      <c r="H73" s="21">
        <f t="shared" si="28"/>
        <v>7.5</v>
      </c>
      <c r="I73" s="21">
        <f t="shared" si="28"/>
        <v>7.5</v>
      </c>
      <c r="J73" s="21">
        <f t="shared" si="28"/>
        <v>7.5</v>
      </c>
      <c r="K73" s="21">
        <f t="shared" si="28"/>
        <v>7.5</v>
      </c>
      <c r="L73" s="21">
        <f t="shared" si="28"/>
        <v>7.5</v>
      </c>
      <c r="M73" s="21"/>
      <c r="N73" s="36"/>
      <c r="O73" s="21"/>
      <c r="P73" s="21"/>
    </row>
    <row r="74" spans="2:16" ht="12.75">
      <c r="B74" s="35"/>
      <c r="C74" s="43" t="s">
        <v>91</v>
      </c>
      <c r="D74" s="21"/>
      <c r="E74" s="21"/>
      <c r="F74" s="21"/>
      <c r="G74" s="21">
        <f aca="true" t="shared" si="29" ref="G74:L74">-STInt*F52</f>
        <v>-0.6749999999999999</v>
      </c>
      <c r="H74" s="21">
        <f t="shared" si="29"/>
        <v>0</v>
      </c>
      <c r="I74" s="21">
        <f t="shared" si="29"/>
        <v>0</v>
      </c>
      <c r="J74" s="21">
        <f t="shared" si="29"/>
        <v>0</v>
      </c>
      <c r="K74" s="21">
        <f t="shared" si="29"/>
        <v>0</v>
      </c>
      <c r="L74" s="21">
        <f t="shared" si="29"/>
        <v>0</v>
      </c>
      <c r="M74" s="21"/>
      <c r="N74" s="36"/>
      <c r="O74" s="21"/>
      <c r="P74" s="21"/>
    </row>
    <row r="75" spans="2:16" ht="15">
      <c r="B75" s="35"/>
      <c r="C75" s="23" t="s">
        <v>94</v>
      </c>
      <c r="D75" s="21"/>
      <c r="E75" s="21"/>
      <c r="F75" s="21"/>
      <c r="G75" s="23">
        <f>STInt*'16'!F60</f>
        <v>0</v>
      </c>
      <c r="H75" s="23">
        <f>STInt*'16'!G60</f>
        <v>0</v>
      </c>
      <c r="I75" s="23">
        <f>STInt*'16'!H60</f>
        <v>0</v>
      </c>
      <c r="J75" s="23">
        <f>STInt*'16'!I60</f>
        <v>0</v>
      </c>
      <c r="K75" s="23">
        <f>STInt*'16'!J60</f>
        <v>0</v>
      </c>
      <c r="L75" s="23">
        <f>STInt*'16'!K60</f>
        <v>0</v>
      </c>
      <c r="M75" s="23"/>
      <c r="N75" s="40"/>
      <c r="O75" s="23"/>
      <c r="P75" s="21"/>
    </row>
    <row r="76" spans="2:16" ht="12.75">
      <c r="B76" s="35"/>
      <c r="C76" s="21" t="s">
        <v>73</v>
      </c>
      <c r="D76" s="21"/>
      <c r="E76" s="21"/>
      <c r="F76" s="21"/>
      <c r="G76" s="21">
        <f aca="true" t="shared" si="30" ref="G76:L76">G72-G73</f>
        <v>13.850000000000001</v>
      </c>
      <c r="H76" s="21">
        <f t="shared" si="30"/>
        <v>11.361499999999989</v>
      </c>
      <c r="I76" s="21">
        <f t="shared" si="30"/>
        <v>3.772384999999975</v>
      </c>
      <c r="J76" s="21">
        <f t="shared" si="30"/>
        <v>-1.2673388500000122</v>
      </c>
      <c r="K76" s="21">
        <f t="shared" si="30"/>
        <v>-11.207665461500008</v>
      </c>
      <c r="L76" s="21">
        <f t="shared" si="30"/>
        <v>-14.53358880688501</v>
      </c>
      <c r="M76" s="21"/>
      <c r="N76" s="36"/>
      <c r="O76" s="21"/>
      <c r="P76" s="21"/>
    </row>
    <row r="77" spans="2:16" ht="15">
      <c r="B77" s="35"/>
      <c r="C77" s="23" t="s">
        <v>74</v>
      </c>
      <c r="D77" s="21"/>
      <c r="E77" s="21"/>
      <c r="F77" s="21"/>
      <c r="G77" s="23">
        <f aca="true" t="shared" si="31" ref="G77:L77">G76*TaxRate</f>
        <v>4.8475</v>
      </c>
      <c r="H77" s="23">
        <f t="shared" si="31"/>
        <v>3.9765249999999956</v>
      </c>
      <c r="I77" s="23">
        <f t="shared" si="31"/>
        <v>1.3203347499999911</v>
      </c>
      <c r="J77" s="23">
        <f t="shared" si="31"/>
        <v>-0.44356859750000427</v>
      </c>
      <c r="K77" s="23">
        <f t="shared" si="31"/>
        <v>-3.9226829115250026</v>
      </c>
      <c r="L77" s="23">
        <f t="shared" si="31"/>
        <v>-5.086756082409753</v>
      </c>
      <c r="M77" s="23"/>
      <c r="N77" s="40"/>
      <c r="O77" s="23"/>
      <c r="P77" s="21"/>
    </row>
    <row r="78" spans="2:16" ht="12.75">
      <c r="B78" s="35"/>
      <c r="C78" s="21" t="s">
        <v>75</v>
      </c>
      <c r="D78" s="21"/>
      <c r="E78" s="21"/>
      <c r="F78" s="21"/>
      <c r="G78" s="21">
        <f aca="true" t="shared" si="32" ref="G78:L78">SUM(G76:G77)</f>
        <v>18.6975</v>
      </c>
      <c r="H78" s="21">
        <f t="shared" si="32"/>
        <v>15.338024999999984</v>
      </c>
      <c r="I78" s="21">
        <f t="shared" si="32"/>
        <v>5.092719749999966</v>
      </c>
      <c r="J78" s="21">
        <f t="shared" si="32"/>
        <v>-1.7109074475000166</v>
      </c>
      <c r="K78" s="21">
        <f t="shared" si="32"/>
        <v>-15.130348373025011</v>
      </c>
      <c r="L78" s="21">
        <f t="shared" si="32"/>
        <v>-19.620344889294763</v>
      </c>
      <c r="M78" s="21"/>
      <c r="N78" s="36"/>
      <c r="O78" s="21"/>
      <c r="P78" s="21"/>
    </row>
    <row r="79" spans="2:16" ht="15">
      <c r="B79" s="35"/>
      <c r="C79" s="23" t="s">
        <v>76</v>
      </c>
      <c r="D79" s="21"/>
      <c r="E79" s="21"/>
      <c r="F79" s="21"/>
      <c r="G79" s="23">
        <f aca="true" t="shared" si="33" ref="G79:L79">G31</f>
        <v>2</v>
      </c>
      <c r="H79" s="23">
        <f t="shared" si="33"/>
        <v>2</v>
      </c>
      <c r="I79" s="23">
        <f t="shared" si="33"/>
        <v>2</v>
      </c>
      <c r="J79" s="23">
        <f t="shared" si="33"/>
        <v>2</v>
      </c>
      <c r="K79" s="23">
        <f t="shared" si="33"/>
        <v>2</v>
      </c>
      <c r="L79" s="23">
        <f t="shared" si="33"/>
        <v>2</v>
      </c>
      <c r="M79" s="23"/>
      <c r="N79" s="40"/>
      <c r="O79" s="23"/>
      <c r="P79" s="21"/>
    </row>
    <row r="80" spans="2:16" ht="12.75">
      <c r="B80" s="35"/>
      <c r="C80" s="21" t="s">
        <v>66</v>
      </c>
      <c r="D80" s="21"/>
      <c r="E80" s="21"/>
      <c r="F80" s="21"/>
      <c r="G80" s="21">
        <f aca="true" t="shared" si="34" ref="G80:L80">G78-G79</f>
        <v>16.6975</v>
      </c>
      <c r="H80" s="21">
        <f t="shared" si="34"/>
        <v>13.338024999999984</v>
      </c>
      <c r="I80" s="21">
        <f t="shared" si="34"/>
        <v>3.092719749999966</v>
      </c>
      <c r="J80" s="21">
        <f t="shared" si="34"/>
        <v>-3.7109074475000163</v>
      </c>
      <c r="K80" s="21">
        <f t="shared" si="34"/>
        <v>-17.13034837302501</v>
      </c>
      <c r="L80" s="21">
        <f t="shared" si="34"/>
        <v>-21.620344889294763</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B1:Q82"/>
  <sheetViews>
    <sheetView workbookViewId="0" topLeftCell="A11">
      <selection activeCell="G29" sqref="G29"/>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188.4</v>
      </c>
      <c r="J34" s="21">
        <f t="shared" si="13"/>
        <v>283.1</v>
      </c>
      <c r="K34" s="21">
        <f t="shared" si="13"/>
        <v>104.2</v>
      </c>
      <c r="L34" s="21">
        <f t="shared" si="13"/>
        <v>130.65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35.849999999999994</v>
      </c>
      <c r="J36" s="21">
        <f t="shared" si="14"/>
        <v>-70.85000000000002</v>
      </c>
      <c r="K36" s="21">
        <f t="shared" si="14"/>
        <v>67.45</v>
      </c>
      <c r="L36" s="21">
        <f t="shared" si="14"/>
        <v>8.949999999999989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35.849999999999994</v>
      </c>
      <c r="J43" s="21">
        <f t="shared" si="15"/>
        <v>-70.85000000000002</v>
      </c>
      <c r="K43" s="21">
        <f t="shared" si="15"/>
        <v>67.45</v>
      </c>
      <c r="L43" s="21">
        <f t="shared" si="15"/>
        <v>8.949999999999989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f aca="true" t="shared" si="17" ref="G53:L53">F53+G68-G12</f>
        <v>315.1</v>
      </c>
      <c r="H53" s="21">
        <f t="shared" si="17"/>
        <v>372.65</v>
      </c>
      <c r="I53" s="21">
        <f t="shared" si="17"/>
        <v>336.5</v>
      </c>
      <c r="J53" s="21">
        <f t="shared" si="17"/>
        <v>282.65</v>
      </c>
      <c r="K53" s="21">
        <f t="shared" si="17"/>
        <v>219.89999999999995</v>
      </c>
      <c r="L53" s="21">
        <f t="shared" si="17"/>
        <v>169.39999999999995</v>
      </c>
      <c r="M53" s="21"/>
      <c r="N53" s="36"/>
      <c r="O53" s="21"/>
      <c r="P53" s="21"/>
    </row>
    <row r="54" spans="2:16" ht="12.75">
      <c r="B54" s="35"/>
      <c r="C54" s="21" t="s">
        <v>58</v>
      </c>
      <c r="D54" s="21"/>
      <c r="E54" s="21"/>
      <c r="F54" s="21">
        <v>157</v>
      </c>
      <c r="G54" s="21">
        <f aca="true" t="shared" si="18" ref="G54:L54">F54+G18-G69</f>
        <v>132.25</v>
      </c>
      <c r="H54" s="21">
        <f t="shared" si="18"/>
        <v>94.75</v>
      </c>
      <c r="I54" s="21">
        <f t="shared" si="18"/>
        <v>59.24999999999997</v>
      </c>
      <c r="J54" s="21">
        <f t="shared" si="18"/>
        <v>22.249999999999943</v>
      </c>
      <c r="K54" s="21">
        <f t="shared" si="18"/>
        <v>25.99999999999993</v>
      </c>
      <c r="L54" s="21">
        <f t="shared" si="18"/>
        <v>96.74999999999993</v>
      </c>
      <c r="M54" s="21"/>
      <c r="N54" s="36"/>
      <c r="O54" s="21"/>
      <c r="P54" s="21"/>
    </row>
    <row r="55" spans="2:16" ht="15">
      <c r="B55" s="35"/>
      <c r="C55" s="21" t="s">
        <v>59</v>
      </c>
      <c r="D55" s="21"/>
      <c r="E55" s="21"/>
      <c r="F55" s="23">
        <v>615</v>
      </c>
      <c r="G55" s="23">
        <f aca="true" t="shared" si="19" ref="G55:L55">F55-G71+G32</f>
        <v>608.85</v>
      </c>
      <c r="H55" s="23">
        <f t="shared" si="19"/>
        <v>602.7615000000001</v>
      </c>
      <c r="I55" s="23">
        <f t="shared" si="19"/>
        <v>596.7338850000001</v>
      </c>
      <c r="J55" s="23">
        <f t="shared" si="19"/>
        <v>740.7665461500001</v>
      </c>
      <c r="K55" s="23">
        <f t="shared" si="19"/>
        <v>733.3588806885001</v>
      </c>
      <c r="L55" s="23">
        <f t="shared" si="19"/>
        <v>726.0252918816151</v>
      </c>
      <c r="M55" s="23"/>
      <c r="N55" s="40"/>
      <c r="O55" s="23"/>
      <c r="P55" s="21"/>
    </row>
    <row r="56" spans="2:16" ht="12.75">
      <c r="B56" s="35"/>
      <c r="C56" s="21" t="s">
        <v>60</v>
      </c>
      <c r="D56" s="21"/>
      <c r="E56" s="21"/>
      <c r="F56" s="21">
        <f aca="true" t="shared" si="20" ref="F56:L56">SUM(F51:F55)</f>
        <v>1227</v>
      </c>
      <c r="G56" s="21">
        <f t="shared" si="20"/>
        <v>1056.2</v>
      </c>
      <c r="H56" s="21">
        <f t="shared" si="20"/>
        <v>1070.1615000000002</v>
      </c>
      <c r="I56" s="21">
        <f t="shared" si="20"/>
        <v>992.4838850000001</v>
      </c>
      <c r="J56" s="21">
        <f t="shared" si="20"/>
        <v>1045.66654615</v>
      </c>
      <c r="K56" s="21">
        <f t="shared" si="20"/>
        <v>979.2588806885</v>
      </c>
      <c r="L56" s="21">
        <f t="shared" si="20"/>
        <v>992.175291881615</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1" ref="G59:L59">F59+G18-G27</f>
        <v>148.5</v>
      </c>
      <c r="H59" s="21">
        <f t="shared" si="21"/>
        <v>125.55000000000001</v>
      </c>
      <c r="I59" s="21">
        <f t="shared" si="21"/>
        <v>96.95</v>
      </c>
      <c r="J59" s="21">
        <f t="shared" si="21"/>
        <v>75.05</v>
      </c>
      <c r="K59" s="21">
        <f t="shared" si="21"/>
        <v>81.8</v>
      </c>
      <c r="L59" s="21">
        <f t="shared" si="21"/>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2" ref="G61:L61">F61+G62*LTDInt/12-G30</f>
        <v>7.5</v>
      </c>
      <c r="H61" s="21">
        <f t="shared" si="22"/>
        <v>15</v>
      </c>
      <c r="I61" s="21">
        <f t="shared" si="22"/>
        <v>0</v>
      </c>
      <c r="J61" s="21">
        <f t="shared" si="22"/>
        <v>7.5</v>
      </c>
      <c r="K61" s="21">
        <f t="shared" si="22"/>
        <v>15</v>
      </c>
      <c r="L61" s="21">
        <f t="shared" si="22"/>
        <v>0</v>
      </c>
      <c r="M61" s="21"/>
      <c r="N61" s="36"/>
      <c r="O61" s="21"/>
      <c r="P61" s="21"/>
    </row>
    <row r="62" spans="2:16" ht="12.75">
      <c r="B62" s="35"/>
      <c r="C62" s="21" t="s">
        <v>64</v>
      </c>
      <c r="D62" s="21"/>
      <c r="E62" s="21"/>
      <c r="F62" s="21">
        <v>600</v>
      </c>
      <c r="G62" s="21">
        <f aca="true" t="shared" si="23" ref="G62:L63">F62</f>
        <v>600</v>
      </c>
      <c r="H62" s="21">
        <f t="shared" si="23"/>
        <v>600</v>
      </c>
      <c r="I62" s="21">
        <f t="shared" si="23"/>
        <v>600</v>
      </c>
      <c r="J62" s="21">
        <f t="shared" si="23"/>
        <v>600</v>
      </c>
      <c r="K62" s="21">
        <f t="shared" si="23"/>
        <v>600</v>
      </c>
      <c r="L62" s="21">
        <f t="shared" si="23"/>
        <v>600</v>
      </c>
      <c r="M62" s="21"/>
      <c r="N62" s="36"/>
      <c r="O62" s="21"/>
      <c r="P62" s="21"/>
    </row>
    <row r="63" spans="2:16" ht="12.75">
      <c r="B63" s="35"/>
      <c r="C63" s="21" t="s">
        <v>65</v>
      </c>
      <c r="D63" s="21"/>
      <c r="E63" s="21"/>
      <c r="F63" s="21">
        <v>120</v>
      </c>
      <c r="G63" s="21">
        <f t="shared" si="23"/>
        <v>120</v>
      </c>
      <c r="H63" s="21">
        <f t="shared" si="23"/>
        <v>120</v>
      </c>
      <c r="I63" s="21">
        <f t="shared" si="23"/>
        <v>120</v>
      </c>
      <c r="J63" s="21">
        <f t="shared" si="23"/>
        <v>120</v>
      </c>
      <c r="K63" s="21">
        <f t="shared" si="23"/>
        <v>120</v>
      </c>
      <c r="L63" s="21">
        <f t="shared" si="23"/>
        <v>120</v>
      </c>
      <c r="M63" s="21"/>
      <c r="N63" s="36"/>
      <c r="O63" s="21"/>
      <c r="P63" s="21"/>
    </row>
    <row r="64" spans="2:16" ht="15">
      <c r="B64" s="35"/>
      <c r="C64" s="21" t="s">
        <v>66</v>
      </c>
      <c r="D64" s="21"/>
      <c r="E64" s="21"/>
      <c r="F64" s="23">
        <v>347</v>
      </c>
      <c r="G64" s="23">
        <f aca="true" t="shared" si="24" ref="G64:L64">F64+G80</f>
        <v>363.6975</v>
      </c>
      <c r="H64" s="23">
        <f t="shared" si="24"/>
        <v>377.03552499999995</v>
      </c>
      <c r="I64" s="23">
        <f t="shared" si="24"/>
        <v>380.1282447499999</v>
      </c>
      <c r="J64" s="23">
        <f t="shared" si="24"/>
        <v>376.4173373024999</v>
      </c>
      <c r="K64" s="23">
        <f t="shared" si="24"/>
        <v>359.2869889294749</v>
      </c>
      <c r="L64" s="23">
        <f t="shared" si="24"/>
        <v>337.66664404018013</v>
      </c>
      <c r="M64" s="23"/>
      <c r="N64" s="40"/>
      <c r="O64" s="23"/>
      <c r="P64" s="21"/>
    </row>
    <row r="65" spans="2:16" ht="12.75">
      <c r="B65" s="35"/>
      <c r="C65" s="21" t="s">
        <v>67</v>
      </c>
      <c r="D65" s="21"/>
      <c r="E65" s="21"/>
      <c r="F65" s="21">
        <f aca="true" t="shared" si="25" ref="F65:L65">SUM(F59:F64)</f>
        <v>1227</v>
      </c>
      <c r="G65" s="21">
        <f t="shared" si="25"/>
        <v>1239.6975</v>
      </c>
      <c r="H65" s="21">
        <f t="shared" si="25"/>
        <v>1237.585525</v>
      </c>
      <c r="I65" s="21">
        <f t="shared" si="25"/>
        <v>1197.07824475</v>
      </c>
      <c r="J65" s="21">
        <f t="shared" si="25"/>
        <v>1178.9673373024998</v>
      </c>
      <c r="K65" s="21">
        <f t="shared" si="25"/>
        <v>1176.086988929475</v>
      </c>
      <c r="L65" s="21">
        <f t="shared" si="25"/>
        <v>1192.8666440401803</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6" ref="G70:L70">G28</f>
        <v>50</v>
      </c>
      <c r="H70" s="21">
        <f t="shared" si="26"/>
        <v>47.900000000000006</v>
      </c>
      <c r="I70" s="21">
        <f t="shared" si="26"/>
        <v>41.6</v>
      </c>
      <c r="J70" s="21">
        <f t="shared" si="26"/>
        <v>37.400000000000006</v>
      </c>
      <c r="K70" s="21">
        <f t="shared" si="26"/>
        <v>30.400000000000002</v>
      </c>
      <c r="L70" s="21">
        <f t="shared" si="26"/>
        <v>27.6</v>
      </c>
      <c r="M70" s="21"/>
      <c r="N70" s="36"/>
      <c r="O70" s="21"/>
      <c r="P70" s="21"/>
    </row>
    <row r="71" spans="2:16" ht="15">
      <c r="B71" s="35"/>
      <c r="C71" s="23" t="s">
        <v>72</v>
      </c>
      <c r="D71" s="21"/>
      <c r="E71" s="21"/>
      <c r="F71" s="21"/>
      <c r="G71" s="23">
        <f aca="true" t="shared" si="27" ref="G71:L71">F55*Depr</f>
        <v>6.15</v>
      </c>
      <c r="H71" s="23">
        <f t="shared" si="27"/>
        <v>6.088500000000001</v>
      </c>
      <c r="I71" s="23">
        <f t="shared" si="27"/>
        <v>6.027615000000001</v>
      </c>
      <c r="J71" s="23">
        <f t="shared" si="27"/>
        <v>5.967338850000001</v>
      </c>
      <c r="K71" s="23">
        <f t="shared" si="27"/>
        <v>7.407665461500001</v>
      </c>
      <c r="L71" s="23">
        <f t="shared" si="27"/>
        <v>7.333588806885001</v>
      </c>
      <c r="M71" s="23"/>
      <c r="N71" s="40"/>
      <c r="O71" s="23"/>
      <c r="P71" s="21"/>
    </row>
    <row r="72" spans="2:16" ht="12.75">
      <c r="B72" s="35"/>
      <c r="C72" s="21" t="s">
        <v>69</v>
      </c>
      <c r="D72" s="21"/>
      <c r="E72" s="21"/>
      <c r="F72" s="21"/>
      <c r="G72" s="21">
        <f aca="true" t="shared" si="28" ref="G72:L72">G68-G69-G70-G71</f>
        <v>21.35</v>
      </c>
      <c r="H72" s="21">
        <f t="shared" si="28"/>
        <v>18.86149999999999</v>
      </c>
      <c r="I72" s="21">
        <f t="shared" si="28"/>
        <v>11.272384999999975</v>
      </c>
      <c r="J72" s="21">
        <f t="shared" si="28"/>
        <v>6.232661149999988</v>
      </c>
      <c r="K72" s="21">
        <f t="shared" si="28"/>
        <v>-3.7076654615000084</v>
      </c>
      <c r="L72" s="21">
        <f t="shared" si="28"/>
        <v>-7.033588806885011</v>
      </c>
      <c r="M72" s="21"/>
      <c r="N72" s="36"/>
      <c r="O72" s="21"/>
      <c r="P72" s="21"/>
    </row>
    <row r="73" spans="2:16" ht="12.75">
      <c r="B73" s="35"/>
      <c r="C73" s="21" t="s">
        <v>93</v>
      </c>
      <c r="D73" s="21"/>
      <c r="E73" s="21"/>
      <c r="F73" s="21"/>
      <c r="G73" s="21">
        <f aca="true" t="shared" si="29" ref="G73:L73">F62*LTDInt/12</f>
        <v>7.5</v>
      </c>
      <c r="H73" s="21">
        <f t="shared" si="29"/>
        <v>7.5</v>
      </c>
      <c r="I73" s="21">
        <f t="shared" si="29"/>
        <v>7.5</v>
      </c>
      <c r="J73" s="21">
        <f t="shared" si="29"/>
        <v>7.5</v>
      </c>
      <c r="K73" s="21">
        <f t="shared" si="29"/>
        <v>7.5</v>
      </c>
      <c r="L73" s="21">
        <f t="shared" si="29"/>
        <v>7.5</v>
      </c>
      <c r="M73" s="21"/>
      <c r="N73" s="36"/>
      <c r="O73" s="21"/>
      <c r="P73" s="21"/>
    </row>
    <row r="74" spans="2:16" ht="12.75">
      <c r="B74" s="35"/>
      <c r="C74" s="43" t="s">
        <v>91</v>
      </c>
      <c r="D74" s="21"/>
      <c r="E74" s="21"/>
      <c r="F74" s="21"/>
      <c r="G74" s="21">
        <f>-STInt*'16'!F52</f>
        <v>-0.6749999999999999</v>
      </c>
      <c r="H74" s="21">
        <f>-STInt*'16'!G52</f>
        <v>0</v>
      </c>
      <c r="I74" s="21">
        <f>-STInt*'16'!H52</f>
        <v>0</v>
      </c>
      <c r="J74" s="21">
        <f>-STInt*'16'!I52</f>
        <v>0</v>
      </c>
      <c r="K74" s="21">
        <f>-STInt*'16'!J52</f>
        <v>0</v>
      </c>
      <c r="L74" s="21">
        <f>-STInt*'16'!K52</f>
        <v>0</v>
      </c>
      <c r="M74" s="21"/>
      <c r="N74" s="36"/>
      <c r="O74" s="21"/>
      <c r="P74" s="21"/>
    </row>
    <row r="75" spans="2:16" ht="15">
      <c r="B75" s="35"/>
      <c r="C75" s="23" t="s">
        <v>94</v>
      </c>
      <c r="D75" s="21"/>
      <c r="E75" s="21"/>
      <c r="F75" s="21"/>
      <c r="G75" s="21">
        <f>STInt*'16'!F60</f>
        <v>0</v>
      </c>
      <c r="H75" s="21">
        <f>STInt*'16'!G60</f>
        <v>0</v>
      </c>
      <c r="I75" s="21">
        <f>STInt*'16'!H60</f>
        <v>0</v>
      </c>
      <c r="J75" s="21">
        <f>STInt*'16'!I60</f>
        <v>0</v>
      </c>
      <c r="K75" s="21">
        <f>STInt*'16'!J60</f>
        <v>0</v>
      </c>
      <c r="L75" s="21">
        <f>STInt*'16'!K60</f>
        <v>0</v>
      </c>
      <c r="M75" s="23"/>
      <c r="N75" s="40"/>
      <c r="O75" s="23"/>
      <c r="P75" s="21"/>
    </row>
    <row r="76" spans="2:16" ht="12.75">
      <c r="B76" s="35"/>
      <c r="C76" s="21" t="s">
        <v>73</v>
      </c>
      <c r="D76" s="21"/>
      <c r="E76" s="21"/>
      <c r="F76" s="21"/>
      <c r="G76" s="21">
        <f aca="true" t="shared" si="30" ref="G76:L76">G72-G73</f>
        <v>13.850000000000001</v>
      </c>
      <c r="H76" s="21">
        <f t="shared" si="30"/>
        <v>11.361499999999989</v>
      </c>
      <c r="I76" s="21">
        <f t="shared" si="30"/>
        <v>3.772384999999975</v>
      </c>
      <c r="J76" s="21">
        <f t="shared" si="30"/>
        <v>-1.2673388500000122</v>
      </c>
      <c r="K76" s="21">
        <f t="shared" si="30"/>
        <v>-11.207665461500008</v>
      </c>
      <c r="L76" s="21">
        <f t="shared" si="30"/>
        <v>-14.53358880688501</v>
      </c>
      <c r="M76" s="21"/>
      <c r="N76" s="36"/>
      <c r="O76" s="21"/>
      <c r="P76" s="21"/>
    </row>
    <row r="77" spans="2:16" ht="15">
      <c r="B77" s="35"/>
      <c r="C77" s="23" t="s">
        <v>74</v>
      </c>
      <c r="D77" s="21"/>
      <c r="E77" s="21"/>
      <c r="F77" s="21"/>
      <c r="G77" s="23">
        <f aca="true" t="shared" si="31" ref="G77:L77">G76*TaxRate</f>
        <v>4.8475</v>
      </c>
      <c r="H77" s="23">
        <f t="shared" si="31"/>
        <v>3.9765249999999956</v>
      </c>
      <c r="I77" s="23">
        <f t="shared" si="31"/>
        <v>1.3203347499999911</v>
      </c>
      <c r="J77" s="23">
        <f t="shared" si="31"/>
        <v>-0.44356859750000427</v>
      </c>
      <c r="K77" s="23">
        <f t="shared" si="31"/>
        <v>-3.9226829115250026</v>
      </c>
      <c r="L77" s="23">
        <f t="shared" si="31"/>
        <v>-5.086756082409753</v>
      </c>
      <c r="M77" s="23"/>
      <c r="N77" s="40"/>
      <c r="O77" s="23"/>
      <c r="P77" s="21"/>
    </row>
    <row r="78" spans="2:16" ht="12.75">
      <c r="B78" s="35"/>
      <c r="C78" s="21" t="s">
        <v>75</v>
      </c>
      <c r="D78" s="21"/>
      <c r="E78" s="21"/>
      <c r="F78" s="21"/>
      <c r="G78" s="21">
        <f aca="true" t="shared" si="32" ref="G78:L78">SUM(G76:G77)</f>
        <v>18.6975</v>
      </c>
      <c r="H78" s="21">
        <f t="shared" si="32"/>
        <v>15.338024999999984</v>
      </c>
      <c r="I78" s="21">
        <f t="shared" si="32"/>
        <v>5.092719749999966</v>
      </c>
      <c r="J78" s="21">
        <f t="shared" si="32"/>
        <v>-1.7109074475000166</v>
      </c>
      <c r="K78" s="21">
        <f t="shared" si="32"/>
        <v>-15.130348373025011</v>
      </c>
      <c r="L78" s="21">
        <f t="shared" si="32"/>
        <v>-19.620344889294763</v>
      </c>
      <c r="M78" s="21"/>
      <c r="N78" s="36"/>
      <c r="O78" s="21"/>
      <c r="P78" s="21"/>
    </row>
    <row r="79" spans="2:16" ht="15">
      <c r="B79" s="35"/>
      <c r="C79" s="23" t="s">
        <v>76</v>
      </c>
      <c r="D79" s="21"/>
      <c r="E79" s="21"/>
      <c r="F79" s="21"/>
      <c r="G79" s="23">
        <f aca="true" t="shared" si="33" ref="G79:L79">G31</f>
        <v>2</v>
      </c>
      <c r="H79" s="23">
        <f t="shared" si="33"/>
        <v>2</v>
      </c>
      <c r="I79" s="23">
        <f t="shared" si="33"/>
        <v>2</v>
      </c>
      <c r="J79" s="23">
        <f t="shared" si="33"/>
        <v>2</v>
      </c>
      <c r="K79" s="23">
        <f t="shared" si="33"/>
        <v>2</v>
      </c>
      <c r="L79" s="23">
        <f t="shared" si="33"/>
        <v>2</v>
      </c>
      <c r="M79" s="23"/>
      <c r="N79" s="40"/>
      <c r="O79" s="23"/>
      <c r="P79" s="21"/>
    </row>
    <row r="80" spans="2:16" ht="12.75">
      <c r="B80" s="35"/>
      <c r="C80" s="21" t="s">
        <v>66</v>
      </c>
      <c r="D80" s="21"/>
      <c r="E80" s="21"/>
      <c r="F80" s="21"/>
      <c r="G80" s="21">
        <f aca="true" t="shared" si="34" ref="G80:L80">G78-G79</f>
        <v>16.6975</v>
      </c>
      <c r="H80" s="21">
        <f t="shared" si="34"/>
        <v>13.338024999999984</v>
      </c>
      <c r="I80" s="21">
        <f t="shared" si="34"/>
        <v>3.092719749999966</v>
      </c>
      <c r="J80" s="21">
        <f t="shared" si="34"/>
        <v>-3.7109074475000163</v>
      </c>
      <c r="K80" s="21">
        <f t="shared" si="34"/>
        <v>-17.13034837302501</v>
      </c>
      <c r="L80" s="21">
        <f t="shared" si="34"/>
        <v>-21.620344889294763</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B1:Q82"/>
  <sheetViews>
    <sheetView workbookViewId="0" topLeftCell="A26">
      <selection activeCell="G39" sqref="G39"/>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f aca="true" t="shared" si="10" ref="G23:L23">-G74</f>
        <v>0.6749999999999999</v>
      </c>
      <c r="H23" s="23">
        <f t="shared" si="10"/>
        <v>0</v>
      </c>
      <c r="I23" s="23">
        <f t="shared" si="10"/>
        <v>0</v>
      </c>
      <c r="J23" s="23">
        <f t="shared" si="10"/>
        <v>0</v>
      </c>
      <c r="K23" s="23">
        <f t="shared" si="10"/>
        <v>0</v>
      </c>
      <c r="L23" s="23">
        <f t="shared" si="10"/>
        <v>0</v>
      </c>
      <c r="M23" s="21"/>
      <c r="N23" s="36"/>
      <c r="O23" s="21"/>
      <c r="P23" s="21"/>
    </row>
    <row r="24" spans="2:16" ht="12.75">
      <c r="B24" s="35"/>
      <c r="C24" s="21" t="s">
        <v>78</v>
      </c>
      <c r="D24" s="21"/>
      <c r="E24" s="21"/>
      <c r="F24" s="21"/>
      <c r="G24" s="21">
        <f aca="true" t="shared" si="11" ref="G24:L24">SUM(G22:G23)</f>
        <v>128.07500000000002</v>
      </c>
      <c r="H24" s="21">
        <f t="shared" si="11"/>
        <v>175.1</v>
      </c>
      <c r="I24" s="21">
        <f t="shared" si="11"/>
        <v>224.25</v>
      </c>
      <c r="J24" s="21">
        <f t="shared" si="11"/>
        <v>212.25</v>
      </c>
      <c r="K24" s="21">
        <f t="shared" si="11"/>
        <v>171.65</v>
      </c>
      <c r="L24" s="21">
        <f t="shared" si="11"/>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2" ref="G27:L27">F18</f>
        <v>156.75</v>
      </c>
      <c r="H27" s="21">
        <f t="shared" si="12"/>
        <v>145.25</v>
      </c>
      <c r="I27" s="21">
        <f t="shared" si="12"/>
        <v>122.3</v>
      </c>
      <c r="J27" s="21">
        <f t="shared" si="12"/>
        <v>93.7</v>
      </c>
      <c r="K27" s="21">
        <f t="shared" si="12"/>
        <v>71.8</v>
      </c>
      <c r="L27" s="21">
        <f t="shared" si="12"/>
        <v>78.55</v>
      </c>
      <c r="M27" s="21"/>
      <c r="N27" s="36"/>
      <c r="O27" s="21"/>
      <c r="P27" s="21"/>
    </row>
    <row r="28" spans="2:16" ht="12.75">
      <c r="B28" s="35"/>
      <c r="C28" s="21" t="s">
        <v>15</v>
      </c>
      <c r="D28" s="21"/>
      <c r="E28" s="21"/>
      <c r="F28" s="21"/>
      <c r="G28" s="21">
        <f aca="true" t="shared" si="13" ref="G28:L28">G5*SWVariable+SWFixed/1000</f>
        <v>50</v>
      </c>
      <c r="H28" s="21">
        <f t="shared" si="13"/>
        <v>47.900000000000006</v>
      </c>
      <c r="I28" s="21">
        <f t="shared" si="13"/>
        <v>41.6</v>
      </c>
      <c r="J28" s="21">
        <f t="shared" si="13"/>
        <v>37.400000000000006</v>
      </c>
      <c r="K28" s="21">
        <f t="shared" si="13"/>
        <v>30.400000000000002</v>
      </c>
      <c r="L28" s="21">
        <f t="shared" si="13"/>
        <v>27.6</v>
      </c>
      <c r="M28" s="21"/>
      <c r="N28" s="36"/>
      <c r="O28" s="21"/>
      <c r="P28" s="21"/>
    </row>
    <row r="29" spans="2:16" ht="12.75">
      <c r="B29" s="35"/>
      <c r="C29" s="21" t="s">
        <v>90</v>
      </c>
      <c r="D29" s="21"/>
      <c r="E29" s="21"/>
      <c r="F29" s="21"/>
      <c r="G29" s="21">
        <f aca="true" t="shared" si="14" ref="G29:L29">G75</f>
        <v>0</v>
      </c>
      <c r="H29" s="21">
        <f t="shared" si="14"/>
        <v>0</v>
      </c>
      <c r="I29" s="21">
        <f t="shared" si="14"/>
        <v>0</v>
      </c>
      <c r="J29" s="21">
        <f t="shared" si="14"/>
        <v>0</v>
      </c>
      <c r="K29" s="21">
        <f t="shared" si="14"/>
        <v>0</v>
      </c>
      <c r="L29" s="21">
        <f t="shared" si="14"/>
        <v>0</v>
      </c>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f aca="true" t="shared" si="15" ref="G33:L33">G77</f>
        <v>4.8475</v>
      </c>
      <c r="H33" s="23">
        <f t="shared" si="15"/>
        <v>3.9765249999999956</v>
      </c>
      <c r="I33" s="23">
        <f t="shared" si="15"/>
        <v>1.3203347499999911</v>
      </c>
      <c r="J33" s="23">
        <f t="shared" si="15"/>
        <v>-0.44356859750000427</v>
      </c>
      <c r="K33" s="23">
        <f t="shared" si="15"/>
        <v>-3.9226829115250026</v>
      </c>
      <c r="L33" s="23">
        <f t="shared" si="15"/>
        <v>-5.086756082409753</v>
      </c>
      <c r="M33" s="23"/>
      <c r="N33" s="40"/>
      <c r="O33" s="23"/>
      <c r="P33" s="21"/>
    </row>
    <row r="34" spans="2:16" ht="12.75">
      <c r="B34" s="35"/>
      <c r="C34" s="21" t="s">
        <v>48</v>
      </c>
      <c r="D34" s="21"/>
      <c r="E34" s="21"/>
      <c r="F34" s="21"/>
      <c r="G34" s="21">
        <f aca="true" t="shared" si="16" ref="G34:L34">SUM(G27:G33)</f>
        <v>213.5975</v>
      </c>
      <c r="H34" s="21">
        <f t="shared" si="16"/>
        <v>199.12652500000002</v>
      </c>
      <c r="I34" s="21">
        <f t="shared" si="16"/>
        <v>189.72033475</v>
      </c>
      <c r="J34" s="21">
        <f t="shared" si="16"/>
        <v>282.6564314025</v>
      </c>
      <c r="K34" s="21">
        <f t="shared" si="16"/>
        <v>100.277317088475</v>
      </c>
      <c r="L34" s="21">
        <f t="shared" si="16"/>
        <v>125.56324391759026</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7" ref="G36:L36">G24-G34</f>
        <v>-85.52249999999998</v>
      </c>
      <c r="H36" s="21">
        <f t="shared" si="17"/>
        <v>-24.02652500000002</v>
      </c>
      <c r="I36" s="21">
        <f t="shared" si="17"/>
        <v>34.529665249999994</v>
      </c>
      <c r="J36" s="21">
        <f t="shared" si="17"/>
        <v>-70.4064314025</v>
      </c>
      <c r="K36" s="21">
        <f t="shared" si="17"/>
        <v>71.372682911525</v>
      </c>
      <c r="L36" s="21">
        <f t="shared" si="17"/>
        <v>14.036756082409738</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8" ref="G43:L43">+G36</f>
        <v>-85.52249999999998</v>
      </c>
      <c r="H43" s="21">
        <f t="shared" si="18"/>
        <v>-24.02652500000002</v>
      </c>
      <c r="I43" s="21">
        <f t="shared" si="18"/>
        <v>34.529665249999994</v>
      </c>
      <c r="J43" s="21">
        <f t="shared" si="18"/>
        <v>-70.4064314025</v>
      </c>
      <c r="K43" s="21">
        <f t="shared" si="18"/>
        <v>71.372682911525</v>
      </c>
      <c r="L43" s="21">
        <f t="shared" si="18"/>
        <v>14.036756082409738</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9" ref="G45:L45">G39</f>
        <v>0</v>
      </c>
      <c r="H45" s="21">
        <f t="shared" si="19"/>
        <v>0</v>
      </c>
      <c r="I45" s="21">
        <f t="shared" si="19"/>
        <v>0</v>
      </c>
      <c r="J45" s="21">
        <f t="shared" si="19"/>
        <v>0</v>
      </c>
      <c r="K45" s="21">
        <f t="shared" si="19"/>
        <v>0</v>
      </c>
      <c r="L45" s="21">
        <f t="shared" si="19"/>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f aca="true" t="shared" si="20" ref="G53:L53">F53+G68-G12</f>
        <v>315.1</v>
      </c>
      <c r="H53" s="21">
        <f t="shared" si="20"/>
        <v>372.65</v>
      </c>
      <c r="I53" s="21">
        <f t="shared" si="20"/>
        <v>336.5</v>
      </c>
      <c r="J53" s="21">
        <f t="shared" si="20"/>
        <v>282.65</v>
      </c>
      <c r="K53" s="21">
        <f t="shared" si="20"/>
        <v>219.89999999999995</v>
      </c>
      <c r="L53" s="21">
        <f t="shared" si="20"/>
        <v>169.39999999999995</v>
      </c>
      <c r="M53" s="21"/>
      <c r="N53" s="36"/>
      <c r="O53" s="21"/>
      <c r="P53" s="21"/>
    </row>
    <row r="54" spans="2:16" ht="12.75">
      <c r="B54" s="35"/>
      <c r="C54" s="21" t="s">
        <v>58</v>
      </c>
      <c r="D54" s="21"/>
      <c r="E54" s="21"/>
      <c r="F54" s="21">
        <v>157</v>
      </c>
      <c r="G54" s="21">
        <f aca="true" t="shared" si="21" ref="G54:L54">F54+G18-G69</f>
        <v>132.25</v>
      </c>
      <c r="H54" s="21">
        <f t="shared" si="21"/>
        <v>94.75</v>
      </c>
      <c r="I54" s="21">
        <f t="shared" si="21"/>
        <v>59.24999999999997</v>
      </c>
      <c r="J54" s="21">
        <f t="shared" si="21"/>
        <v>22.249999999999943</v>
      </c>
      <c r="K54" s="21">
        <f t="shared" si="21"/>
        <v>25.99999999999993</v>
      </c>
      <c r="L54" s="21">
        <f t="shared" si="21"/>
        <v>96.74999999999993</v>
      </c>
      <c r="M54" s="21"/>
      <c r="N54" s="36"/>
      <c r="O54" s="21"/>
      <c r="P54" s="21"/>
    </row>
    <row r="55" spans="2:16" ht="15">
      <c r="B55" s="35"/>
      <c r="C55" s="21" t="s">
        <v>59</v>
      </c>
      <c r="D55" s="21"/>
      <c r="E55" s="21"/>
      <c r="F55" s="23">
        <v>615</v>
      </c>
      <c r="G55" s="23">
        <f aca="true" t="shared" si="22" ref="G55:L55">F55-G71+G32</f>
        <v>608.85</v>
      </c>
      <c r="H55" s="23">
        <f t="shared" si="22"/>
        <v>602.7615000000001</v>
      </c>
      <c r="I55" s="23">
        <f t="shared" si="22"/>
        <v>596.7338850000001</v>
      </c>
      <c r="J55" s="23">
        <f t="shared" si="22"/>
        <v>740.7665461500001</v>
      </c>
      <c r="K55" s="23">
        <f t="shared" si="22"/>
        <v>733.3588806885001</v>
      </c>
      <c r="L55" s="23">
        <f t="shared" si="22"/>
        <v>726.0252918816151</v>
      </c>
      <c r="M55" s="23"/>
      <c r="N55" s="40"/>
      <c r="O55" s="23"/>
      <c r="P55" s="21"/>
    </row>
    <row r="56" spans="2:16" ht="12.75">
      <c r="B56" s="35"/>
      <c r="C56" s="21" t="s">
        <v>60</v>
      </c>
      <c r="D56" s="21"/>
      <c r="E56" s="21"/>
      <c r="F56" s="21">
        <f aca="true" t="shared" si="23" ref="F56:L56">SUM(F51:F55)</f>
        <v>1227</v>
      </c>
      <c r="G56" s="21">
        <f t="shared" si="23"/>
        <v>1056.2</v>
      </c>
      <c r="H56" s="21">
        <f t="shared" si="23"/>
        <v>1070.1615000000002</v>
      </c>
      <c r="I56" s="21">
        <f t="shared" si="23"/>
        <v>992.4838850000001</v>
      </c>
      <c r="J56" s="21">
        <f t="shared" si="23"/>
        <v>1045.66654615</v>
      </c>
      <c r="K56" s="21">
        <f t="shared" si="23"/>
        <v>979.2588806885</v>
      </c>
      <c r="L56" s="21">
        <f t="shared" si="23"/>
        <v>992.175291881615</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4" ref="G59:L59">F59+G18-G27</f>
        <v>148.5</v>
      </c>
      <c r="H59" s="21">
        <f t="shared" si="24"/>
        <v>125.55000000000001</v>
      </c>
      <c r="I59" s="21">
        <f t="shared" si="24"/>
        <v>96.95</v>
      </c>
      <c r="J59" s="21">
        <f t="shared" si="24"/>
        <v>75.05</v>
      </c>
      <c r="K59" s="21">
        <f t="shared" si="24"/>
        <v>81.8</v>
      </c>
      <c r="L59" s="21">
        <f t="shared" si="24"/>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5" ref="G61:L61">F61+G62*LTDInt/12-G30</f>
        <v>7.5</v>
      </c>
      <c r="H61" s="21">
        <f t="shared" si="25"/>
        <v>15</v>
      </c>
      <c r="I61" s="21">
        <f t="shared" si="25"/>
        <v>0</v>
      </c>
      <c r="J61" s="21">
        <f t="shared" si="25"/>
        <v>7.5</v>
      </c>
      <c r="K61" s="21">
        <f t="shared" si="25"/>
        <v>15</v>
      </c>
      <c r="L61" s="21">
        <f t="shared" si="25"/>
        <v>0</v>
      </c>
      <c r="M61" s="21"/>
      <c r="N61" s="36"/>
      <c r="O61" s="21"/>
      <c r="P61" s="21"/>
    </row>
    <row r="62" spans="2:16" ht="12.75">
      <c r="B62" s="35"/>
      <c r="C62" s="21" t="s">
        <v>64</v>
      </c>
      <c r="D62" s="21"/>
      <c r="E62" s="21"/>
      <c r="F62" s="21">
        <v>600</v>
      </c>
      <c r="G62" s="21">
        <f aca="true" t="shared" si="26" ref="G62:L63">F62</f>
        <v>600</v>
      </c>
      <c r="H62" s="21">
        <f t="shared" si="26"/>
        <v>600</v>
      </c>
      <c r="I62" s="21">
        <f t="shared" si="26"/>
        <v>600</v>
      </c>
      <c r="J62" s="21">
        <f t="shared" si="26"/>
        <v>600</v>
      </c>
      <c r="K62" s="21">
        <f t="shared" si="26"/>
        <v>600</v>
      </c>
      <c r="L62" s="21">
        <f t="shared" si="26"/>
        <v>600</v>
      </c>
      <c r="M62" s="21"/>
      <c r="N62" s="36"/>
      <c r="O62" s="21"/>
      <c r="P62" s="21"/>
    </row>
    <row r="63" spans="2:16" ht="12.75">
      <c r="B63" s="35"/>
      <c r="C63" s="21" t="s">
        <v>65</v>
      </c>
      <c r="D63" s="21"/>
      <c r="E63" s="21"/>
      <c r="F63" s="21">
        <v>120</v>
      </c>
      <c r="G63" s="21">
        <f t="shared" si="26"/>
        <v>120</v>
      </c>
      <c r="H63" s="21">
        <f t="shared" si="26"/>
        <v>120</v>
      </c>
      <c r="I63" s="21">
        <f t="shared" si="26"/>
        <v>120</v>
      </c>
      <c r="J63" s="21">
        <f t="shared" si="26"/>
        <v>120</v>
      </c>
      <c r="K63" s="21">
        <f t="shared" si="26"/>
        <v>120</v>
      </c>
      <c r="L63" s="21">
        <f t="shared" si="26"/>
        <v>120</v>
      </c>
      <c r="M63" s="21"/>
      <c r="N63" s="36"/>
      <c r="O63" s="21"/>
      <c r="P63" s="21"/>
    </row>
    <row r="64" spans="2:16" ht="15">
      <c r="B64" s="35"/>
      <c r="C64" s="21" t="s">
        <v>66</v>
      </c>
      <c r="D64" s="21"/>
      <c r="E64" s="21"/>
      <c r="F64" s="23">
        <v>347</v>
      </c>
      <c r="G64" s="23">
        <f aca="true" t="shared" si="27" ref="G64:L64">F64+G80</f>
        <v>363.6975</v>
      </c>
      <c r="H64" s="23">
        <f t="shared" si="27"/>
        <v>377.03552499999995</v>
      </c>
      <c r="I64" s="23">
        <f t="shared" si="27"/>
        <v>380.1282447499999</v>
      </c>
      <c r="J64" s="23">
        <f t="shared" si="27"/>
        <v>376.4173373024999</v>
      </c>
      <c r="K64" s="23">
        <f t="shared" si="27"/>
        <v>359.2869889294749</v>
      </c>
      <c r="L64" s="23">
        <f t="shared" si="27"/>
        <v>337.66664404018013</v>
      </c>
      <c r="M64" s="23"/>
      <c r="N64" s="40"/>
      <c r="O64" s="23"/>
      <c r="P64" s="21"/>
    </row>
    <row r="65" spans="2:16" ht="12.75">
      <c r="B65" s="35"/>
      <c r="C65" s="21" t="s">
        <v>67</v>
      </c>
      <c r="D65" s="21"/>
      <c r="E65" s="21"/>
      <c r="F65" s="21">
        <f aca="true" t="shared" si="28" ref="F65:L65">SUM(F59:F64)</f>
        <v>1227</v>
      </c>
      <c r="G65" s="21">
        <f t="shared" si="28"/>
        <v>1239.6975</v>
      </c>
      <c r="H65" s="21">
        <f t="shared" si="28"/>
        <v>1237.585525</v>
      </c>
      <c r="I65" s="21">
        <f t="shared" si="28"/>
        <v>1197.07824475</v>
      </c>
      <c r="J65" s="21">
        <f t="shared" si="28"/>
        <v>1178.9673373024998</v>
      </c>
      <c r="K65" s="21">
        <f t="shared" si="28"/>
        <v>1176.086988929475</v>
      </c>
      <c r="L65" s="21">
        <f t="shared" si="28"/>
        <v>1192.8666440401803</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9" ref="G70:L70">G28</f>
        <v>50</v>
      </c>
      <c r="H70" s="21">
        <f t="shared" si="29"/>
        <v>47.900000000000006</v>
      </c>
      <c r="I70" s="21">
        <f t="shared" si="29"/>
        <v>41.6</v>
      </c>
      <c r="J70" s="21">
        <f t="shared" si="29"/>
        <v>37.400000000000006</v>
      </c>
      <c r="K70" s="21">
        <f t="shared" si="29"/>
        <v>30.400000000000002</v>
      </c>
      <c r="L70" s="21">
        <f t="shared" si="29"/>
        <v>27.6</v>
      </c>
      <c r="M70" s="21"/>
      <c r="N70" s="36"/>
      <c r="O70" s="21"/>
      <c r="P70" s="21"/>
    </row>
    <row r="71" spans="2:16" ht="15">
      <c r="B71" s="35"/>
      <c r="C71" s="23" t="s">
        <v>72</v>
      </c>
      <c r="D71" s="21"/>
      <c r="E71" s="21"/>
      <c r="F71" s="21"/>
      <c r="G71" s="23">
        <f aca="true" t="shared" si="30" ref="G71:L71">F55*Depr</f>
        <v>6.15</v>
      </c>
      <c r="H71" s="23">
        <f t="shared" si="30"/>
        <v>6.088500000000001</v>
      </c>
      <c r="I71" s="23">
        <f t="shared" si="30"/>
        <v>6.027615000000001</v>
      </c>
      <c r="J71" s="23">
        <f t="shared" si="30"/>
        <v>5.967338850000001</v>
      </c>
      <c r="K71" s="23">
        <f t="shared" si="30"/>
        <v>7.407665461500001</v>
      </c>
      <c r="L71" s="23">
        <f t="shared" si="30"/>
        <v>7.333588806885001</v>
      </c>
      <c r="M71" s="23"/>
      <c r="N71" s="40"/>
      <c r="O71" s="23"/>
      <c r="P71" s="21"/>
    </row>
    <row r="72" spans="2:16" ht="12.75">
      <c r="B72" s="35"/>
      <c r="C72" s="21" t="s">
        <v>69</v>
      </c>
      <c r="D72" s="21"/>
      <c r="E72" s="21"/>
      <c r="F72" s="21"/>
      <c r="G72" s="21">
        <f aca="true" t="shared" si="31" ref="G72:L72">G68-G69-G70-G71</f>
        <v>21.35</v>
      </c>
      <c r="H72" s="21">
        <f t="shared" si="31"/>
        <v>18.86149999999999</v>
      </c>
      <c r="I72" s="21">
        <f t="shared" si="31"/>
        <v>11.272384999999975</v>
      </c>
      <c r="J72" s="21">
        <f t="shared" si="31"/>
        <v>6.232661149999988</v>
      </c>
      <c r="K72" s="21">
        <f t="shared" si="31"/>
        <v>-3.7076654615000084</v>
      </c>
      <c r="L72" s="21">
        <f t="shared" si="31"/>
        <v>-7.033588806885011</v>
      </c>
      <c r="M72" s="21"/>
      <c r="N72" s="36"/>
      <c r="O72" s="21"/>
      <c r="P72" s="21"/>
    </row>
    <row r="73" spans="2:16" ht="12.75">
      <c r="B73" s="35"/>
      <c r="C73" s="21" t="s">
        <v>93</v>
      </c>
      <c r="D73" s="21"/>
      <c r="E73" s="21"/>
      <c r="F73" s="21"/>
      <c r="G73" s="21">
        <f aca="true" t="shared" si="32" ref="G73:L73">F62*LTDInt/12</f>
        <v>7.5</v>
      </c>
      <c r="H73" s="21">
        <f t="shared" si="32"/>
        <v>7.5</v>
      </c>
      <c r="I73" s="21">
        <f t="shared" si="32"/>
        <v>7.5</v>
      </c>
      <c r="J73" s="21">
        <f t="shared" si="32"/>
        <v>7.5</v>
      </c>
      <c r="K73" s="21">
        <f t="shared" si="32"/>
        <v>7.5</v>
      </c>
      <c r="L73" s="21">
        <f t="shared" si="32"/>
        <v>7.5</v>
      </c>
      <c r="M73" s="21"/>
      <c r="N73" s="36"/>
      <c r="O73" s="21"/>
      <c r="P73" s="21"/>
    </row>
    <row r="74" spans="2:16" ht="12.75">
      <c r="B74" s="35"/>
      <c r="C74" s="43" t="s">
        <v>91</v>
      </c>
      <c r="D74" s="21"/>
      <c r="E74" s="21"/>
      <c r="F74" s="21"/>
      <c r="G74" s="21">
        <f>-STInt*'16'!F52</f>
        <v>-0.6749999999999999</v>
      </c>
      <c r="H74" s="21">
        <f>-STInt*'16'!G52</f>
        <v>0</v>
      </c>
      <c r="I74" s="21">
        <f>-STInt*'16'!H52</f>
        <v>0</v>
      </c>
      <c r="J74" s="21">
        <f>-STInt*'16'!I52</f>
        <v>0</v>
      </c>
      <c r="K74" s="21">
        <f>-STInt*'16'!J52</f>
        <v>0</v>
      </c>
      <c r="L74" s="21">
        <f>-STInt*'16'!K52</f>
        <v>0</v>
      </c>
      <c r="M74" s="21"/>
      <c r="N74" s="36"/>
      <c r="O74" s="21"/>
      <c r="P74" s="21"/>
    </row>
    <row r="75" spans="2:16" ht="15">
      <c r="B75" s="35"/>
      <c r="C75" s="23" t="s">
        <v>94</v>
      </c>
      <c r="D75" s="21"/>
      <c r="E75" s="21"/>
      <c r="F75" s="21"/>
      <c r="G75" s="21">
        <f>STInt*'16'!F60</f>
        <v>0</v>
      </c>
      <c r="H75" s="21">
        <f>STInt*'16'!G60</f>
        <v>0</v>
      </c>
      <c r="I75" s="21">
        <f>STInt*'16'!H60</f>
        <v>0</v>
      </c>
      <c r="J75" s="21">
        <f>STInt*'16'!I60</f>
        <v>0</v>
      </c>
      <c r="K75" s="21">
        <f>STInt*'16'!J60</f>
        <v>0</v>
      </c>
      <c r="L75" s="21">
        <f>STInt*'16'!K60</f>
        <v>0</v>
      </c>
      <c r="M75" s="23"/>
      <c r="N75" s="40"/>
      <c r="O75" s="23"/>
      <c r="P75" s="21"/>
    </row>
    <row r="76" spans="2:16" ht="12.75">
      <c r="B76" s="35"/>
      <c r="C76" s="21" t="s">
        <v>73</v>
      </c>
      <c r="D76" s="21"/>
      <c r="E76" s="21"/>
      <c r="F76" s="21"/>
      <c r="G76" s="21">
        <f aca="true" t="shared" si="33" ref="G76:L76">G72-G73</f>
        <v>13.850000000000001</v>
      </c>
      <c r="H76" s="21">
        <f t="shared" si="33"/>
        <v>11.361499999999989</v>
      </c>
      <c r="I76" s="21">
        <f t="shared" si="33"/>
        <v>3.772384999999975</v>
      </c>
      <c r="J76" s="21">
        <f t="shared" si="33"/>
        <v>-1.2673388500000122</v>
      </c>
      <c r="K76" s="21">
        <f t="shared" si="33"/>
        <v>-11.207665461500008</v>
      </c>
      <c r="L76" s="21">
        <f t="shared" si="33"/>
        <v>-14.53358880688501</v>
      </c>
      <c r="M76" s="21"/>
      <c r="N76" s="36"/>
      <c r="O76" s="21"/>
      <c r="P76" s="21"/>
    </row>
    <row r="77" spans="2:16" ht="15">
      <c r="B77" s="35"/>
      <c r="C77" s="23" t="s">
        <v>74</v>
      </c>
      <c r="D77" s="21"/>
      <c r="E77" s="21"/>
      <c r="F77" s="21"/>
      <c r="G77" s="23">
        <f aca="true" t="shared" si="34" ref="G77:L77">G76*TaxRate</f>
        <v>4.8475</v>
      </c>
      <c r="H77" s="23">
        <f t="shared" si="34"/>
        <v>3.9765249999999956</v>
      </c>
      <c r="I77" s="23">
        <f t="shared" si="34"/>
        <v>1.3203347499999911</v>
      </c>
      <c r="J77" s="23">
        <f t="shared" si="34"/>
        <v>-0.44356859750000427</v>
      </c>
      <c r="K77" s="23">
        <f t="shared" si="34"/>
        <v>-3.9226829115250026</v>
      </c>
      <c r="L77" s="23">
        <f t="shared" si="34"/>
        <v>-5.086756082409753</v>
      </c>
      <c r="M77" s="23"/>
      <c r="N77" s="40"/>
      <c r="O77" s="23"/>
      <c r="P77" s="21"/>
    </row>
    <row r="78" spans="2:16" ht="12.75">
      <c r="B78" s="35"/>
      <c r="C78" s="21" t="s">
        <v>75</v>
      </c>
      <c r="D78" s="21"/>
      <c r="E78" s="21"/>
      <c r="F78" s="21"/>
      <c r="G78" s="21">
        <f aca="true" t="shared" si="35" ref="G78:L78">SUM(G76:G77)</f>
        <v>18.6975</v>
      </c>
      <c r="H78" s="21">
        <f t="shared" si="35"/>
        <v>15.338024999999984</v>
      </c>
      <c r="I78" s="21">
        <f t="shared" si="35"/>
        <v>5.092719749999966</v>
      </c>
      <c r="J78" s="21">
        <f t="shared" si="35"/>
        <v>-1.7109074475000166</v>
      </c>
      <c r="K78" s="21">
        <f t="shared" si="35"/>
        <v>-15.130348373025011</v>
      </c>
      <c r="L78" s="21">
        <f t="shared" si="35"/>
        <v>-19.620344889294763</v>
      </c>
      <c r="M78" s="21"/>
      <c r="N78" s="36"/>
      <c r="O78" s="21"/>
      <c r="P78" s="21"/>
    </row>
    <row r="79" spans="2:16" ht="15">
      <c r="B79" s="35"/>
      <c r="C79" s="23" t="s">
        <v>76</v>
      </c>
      <c r="D79" s="21"/>
      <c r="E79" s="21"/>
      <c r="F79" s="21"/>
      <c r="G79" s="23">
        <f aca="true" t="shared" si="36" ref="G79:L79">G31</f>
        <v>2</v>
      </c>
      <c r="H79" s="23">
        <f t="shared" si="36"/>
        <v>2</v>
      </c>
      <c r="I79" s="23">
        <f t="shared" si="36"/>
        <v>2</v>
      </c>
      <c r="J79" s="23">
        <f t="shared" si="36"/>
        <v>2</v>
      </c>
      <c r="K79" s="23">
        <f t="shared" si="36"/>
        <v>2</v>
      </c>
      <c r="L79" s="23">
        <f t="shared" si="36"/>
        <v>2</v>
      </c>
      <c r="M79" s="23"/>
      <c r="N79" s="40"/>
      <c r="O79" s="23"/>
      <c r="P79" s="21"/>
    </row>
    <row r="80" spans="2:16" ht="12.75">
      <c r="B80" s="35"/>
      <c r="C80" s="21" t="s">
        <v>66</v>
      </c>
      <c r="D80" s="21"/>
      <c r="E80" s="21"/>
      <c r="F80" s="21"/>
      <c r="G80" s="21">
        <f aca="true" t="shared" si="37" ref="G80:L80">G78-G79</f>
        <v>16.6975</v>
      </c>
      <c r="H80" s="21">
        <f t="shared" si="37"/>
        <v>13.338024999999984</v>
      </c>
      <c r="I80" s="21">
        <f t="shared" si="37"/>
        <v>3.092719749999966</v>
      </c>
      <c r="J80" s="21">
        <f t="shared" si="37"/>
        <v>-3.7109074475000163</v>
      </c>
      <c r="K80" s="21">
        <f t="shared" si="37"/>
        <v>-17.13034837302501</v>
      </c>
      <c r="L80" s="21">
        <f t="shared" si="37"/>
        <v>-21.620344889294763</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B1:Q82"/>
  <sheetViews>
    <sheetView workbookViewId="0" topLeftCell="A33">
      <selection activeCell="G44" sqref="G44"/>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f aca="true" t="shared" si="10" ref="G23:L23">-G74</f>
        <v>0.6749999999999999</v>
      </c>
      <c r="H23" s="23">
        <f t="shared" si="10"/>
        <v>0</v>
      </c>
      <c r="I23" s="23">
        <f t="shared" si="10"/>
        <v>0</v>
      </c>
      <c r="J23" s="23">
        <f t="shared" si="10"/>
        <v>0</v>
      </c>
      <c r="K23" s="23">
        <f t="shared" si="10"/>
        <v>0</v>
      </c>
      <c r="L23" s="23">
        <f t="shared" si="10"/>
        <v>0</v>
      </c>
      <c r="M23" s="21"/>
      <c r="N23" s="36"/>
      <c r="O23" s="21"/>
      <c r="P23" s="21"/>
    </row>
    <row r="24" spans="2:16" ht="12.75">
      <c r="B24" s="35"/>
      <c r="C24" s="21" t="s">
        <v>78</v>
      </c>
      <c r="D24" s="21"/>
      <c r="E24" s="21"/>
      <c r="F24" s="21"/>
      <c r="G24" s="21">
        <f aca="true" t="shared" si="11" ref="G24:L24">SUM(G22:G23)</f>
        <v>128.07500000000002</v>
      </c>
      <c r="H24" s="21">
        <f t="shared" si="11"/>
        <v>175.1</v>
      </c>
      <c r="I24" s="21">
        <f t="shared" si="11"/>
        <v>224.25</v>
      </c>
      <c r="J24" s="21">
        <f t="shared" si="11"/>
        <v>212.25</v>
      </c>
      <c r="K24" s="21">
        <f t="shared" si="11"/>
        <v>171.65</v>
      </c>
      <c r="L24" s="21">
        <f t="shared" si="11"/>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2" ref="G27:L27">F18</f>
        <v>156.75</v>
      </c>
      <c r="H27" s="21">
        <f t="shared" si="12"/>
        <v>145.25</v>
      </c>
      <c r="I27" s="21">
        <f t="shared" si="12"/>
        <v>122.3</v>
      </c>
      <c r="J27" s="21">
        <f t="shared" si="12"/>
        <v>93.7</v>
      </c>
      <c r="K27" s="21">
        <f t="shared" si="12"/>
        <v>71.8</v>
      </c>
      <c r="L27" s="21">
        <f t="shared" si="12"/>
        <v>78.55</v>
      </c>
      <c r="M27" s="21"/>
      <c r="N27" s="36"/>
      <c r="O27" s="21"/>
      <c r="P27" s="21"/>
    </row>
    <row r="28" spans="2:16" ht="12.75">
      <c r="B28" s="35"/>
      <c r="C28" s="21" t="s">
        <v>15</v>
      </c>
      <c r="D28" s="21"/>
      <c r="E28" s="21"/>
      <c r="F28" s="21"/>
      <c r="G28" s="21">
        <f aca="true" t="shared" si="13" ref="G28:L28">G5*SWVariable+SWFixed/1000</f>
        <v>50</v>
      </c>
      <c r="H28" s="21">
        <f t="shared" si="13"/>
        <v>47.900000000000006</v>
      </c>
      <c r="I28" s="21">
        <f t="shared" si="13"/>
        <v>41.6</v>
      </c>
      <c r="J28" s="21">
        <f t="shared" si="13"/>
        <v>37.400000000000006</v>
      </c>
      <c r="K28" s="21">
        <f t="shared" si="13"/>
        <v>30.400000000000002</v>
      </c>
      <c r="L28" s="21">
        <f t="shared" si="13"/>
        <v>27.6</v>
      </c>
      <c r="M28" s="21"/>
      <c r="N28" s="36"/>
      <c r="O28" s="21"/>
      <c r="P28" s="21"/>
    </row>
    <row r="29" spans="2:16" ht="12.75">
      <c r="B29" s="35"/>
      <c r="C29" s="21" t="s">
        <v>90</v>
      </c>
      <c r="D29" s="21"/>
      <c r="E29" s="21"/>
      <c r="F29" s="21"/>
      <c r="G29" s="21">
        <f aca="true" t="shared" si="14" ref="G29:L29">G75</f>
        <v>0</v>
      </c>
      <c r="H29" s="21">
        <f t="shared" si="14"/>
        <v>0</v>
      </c>
      <c r="I29" s="21">
        <f t="shared" si="14"/>
        <v>0</v>
      </c>
      <c r="J29" s="21">
        <f t="shared" si="14"/>
        <v>0</v>
      </c>
      <c r="K29" s="21">
        <f t="shared" si="14"/>
        <v>0</v>
      </c>
      <c r="L29" s="21">
        <f t="shared" si="14"/>
        <v>0</v>
      </c>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f aca="true" t="shared" si="15" ref="G33:L33">G77</f>
        <v>4.8475</v>
      </c>
      <c r="H33" s="23">
        <f t="shared" si="15"/>
        <v>3.9765249999999956</v>
      </c>
      <c r="I33" s="23">
        <f t="shared" si="15"/>
        <v>1.3203347499999911</v>
      </c>
      <c r="J33" s="23">
        <f t="shared" si="15"/>
        <v>-0.44356859750000427</v>
      </c>
      <c r="K33" s="23">
        <f t="shared" si="15"/>
        <v>-3.9226829115250026</v>
      </c>
      <c r="L33" s="23">
        <f t="shared" si="15"/>
        <v>-5.086756082409753</v>
      </c>
      <c r="M33" s="23"/>
      <c r="N33" s="40"/>
      <c r="O33" s="23"/>
      <c r="P33" s="21"/>
    </row>
    <row r="34" spans="2:16" ht="12.75">
      <c r="B34" s="35"/>
      <c r="C34" s="21" t="s">
        <v>48</v>
      </c>
      <c r="D34" s="21"/>
      <c r="E34" s="21"/>
      <c r="F34" s="21"/>
      <c r="G34" s="21">
        <f aca="true" t="shared" si="16" ref="G34:L34">SUM(G27:G33)</f>
        <v>213.5975</v>
      </c>
      <c r="H34" s="21">
        <f t="shared" si="16"/>
        <v>199.12652500000002</v>
      </c>
      <c r="I34" s="21">
        <f t="shared" si="16"/>
        <v>189.72033475</v>
      </c>
      <c r="J34" s="21">
        <f t="shared" si="16"/>
        <v>282.6564314025</v>
      </c>
      <c r="K34" s="21">
        <f t="shared" si="16"/>
        <v>100.277317088475</v>
      </c>
      <c r="L34" s="21">
        <f t="shared" si="16"/>
        <v>125.56324391759026</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7" ref="G36:L36">G24-G34</f>
        <v>-85.52249999999998</v>
      </c>
      <c r="H36" s="21">
        <f t="shared" si="17"/>
        <v>-24.02652500000002</v>
      </c>
      <c r="I36" s="21">
        <f t="shared" si="17"/>
        <v>34.529665249999994</v>
      </c>
      <c r="J36" s="21">
        <f t="shared" si="17"/>
        <v>-70.4064314025</v>
      </c>
      <c r="K36" s="21">
        <f t="shared" si="17"/>
        <v>71.372682911525</v>
      </c>
      <c r="L36" s="21">
        <f t="shared" si="17"/>
        <v>14.036756082409738</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f>Inputs!$G$15/1000+Inputs!$G$16*'24'!H28+Inputs!$G$17*'24'!G59</f>
        <v>157.51</v>
      </c>
      <c r="H39" s="21">
        <f>Inputs!$G$15/1000+Inputs!$G$16*'24'!I28+Inputs!$G$17*'24'!H59</f>
        <v>136.20250000000001</v>
      </c>
      <c r="I39" s="21">
        <f>Inputs!$G$15/1000+Inputs!$G$16*'24'!J28+Inputs!$G$17*'24'!I59</f>
        <v>112.02250000000001</v>
      </c>
      <c r="J39" s="21">
        <f>Inputs!$G$15/1000+Inputs!$G$16*'24'!K28+Inputs!$G$17*'24'!J59</f>
        <v>91.0475</v>
      </c>
      <c r="K39" s="21">
        <f>Inputs!$G$15/1000+Inputs!$G$16*'24'!L28+Inputs!$G$17*'24'!K59</f>
        <v>94.28999999999999</v>
      </c>
      <c r="L39" s="21">
        <f>Inputs!$G$15/1000+Inputs!$G$16*'24'!M28+Inputs!$G$17*'24'!L59</f>
        <v>116.39999999999999</v>
      </c>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157.51</v>
      </c>
      <c r="I42" s="21">
        <f>H45</f>
        <v>136.20250000000001</v>
      </c>
      <c r="J42" s="21">
        <f>I45</f>
        <v>112.02250000000001</v>
      </c>
      <c r="K42" s="21">
        <f>J45</f>
        <v>91.0475</v>
      </c>
      <c r="L42" s="21">
        <f>K45</f>
        <v>94.28999999999999</v>
      </c>
      <c r="M42" s="21"/>
      <c r="N42" s="36"/>
      <c r="O42" s="21"/>
      <c r="P42" s="21"/>
    </row>
    <row r="43" spans="2:16" ht="12.75">
      <c r="B43" s="35"/>
      <c r="C43" s="21" t="s">
        <v>51</v>
      </c>
      <c r="D43" s="21"/>
      <c r="E43" s="21"/>
      <c r="F43" s="21"/>
      <c r="G43" s="21">
        <f aca="true" t="shared" si="18" ref="G43:L43">+G36</f>
        <v>-85.52249999999998</v>
      </c>
      <c r="H43" s="21">
        <f t="shared" si="18"/>
        <v>-24.02652500000002</v>
      </c>
      <c r="I43" s="21">
        <f t="shared" si="18"/>
        <v>34.529665249999994</v>
      </c>
      <c r="J43" s="21">
        <f t="shared" si="18"/>
        <v>-70.4064314025</v>
      </c>
      <c r="K43" s="21">
        <f t="shared" si="18"/>
        <v>71.372682911525</v>
      </c>
      <c r="L43" s="21">
        <f t="shared" si="18"/>
        <v>14.036756082409738</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9" ref="G45:L45">G39</f>
        <v>157.51</v>
      </c>
      <c r="H45" s="21">
        <f t="shared" si="19"/>
        <v>136.20250000000001</v>
      </c>
      <c r="I45" s="21">
        <f t="shared" si="19"/>
        <v>112.02250000000001</v>
      </c>
      <c r="J45" s="21">
        <f t="shared" si="19"/>
        <v>91.0475</v>
      </c>
      <c r="K45" s="21">
        <f t="shared" si="19"/>
        <v>94.28999999999999</v>
      </c>
      <c r="L45" s="21">
        <f t="shared" si="19"/>
        <v>116.39999999999999</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f aca="true" t="shared" si="20" ref="G53:L53">F53+G68-G12</f>
        <v>315.1</v>
      </c>
      <c r="H53" s="21">
        <f t="shared" si="20"/>
        <v>372.65</v>
      </c>
      <c r="I53" s="21">
        <f t="shared" si="20"/>
        <v>336.5</v>
      </c>
      <c r="J53" s="21">
        <f t="shared" si="20"/>
        <v>282.65</v>
      </c>
      <c r="K53" s="21">
        <f t="shared" si="20"/>
        <v>219.89999999999995</v>
      </c>
      <c r="L53" s="21">
        <f t="shared" si="20"/>
        <v>169.39999999999995</v>
      </c>
      <c r="M53" s="21"/>
      <c r="N53" s="36"/>
      <c r="O53" s="21"/>
      <c r="P53" s="21"/>
    </row>
    <row r="54" spans="2:16" ht="12.75">
      <c r="B54" s="35"/>
      <c r="C54" s="21" t="s">
        <v>58</v>
      </c>
      <c r="D54" s="21"/>
      <c r="E54" s="21"/>
      <c r="F54" s="21">
        <v>157</v>
      </c>
      <c r="G54" s="21">
        <f aca="true" t="shared" si="21" ref="G54:L54">F54+G18-G69</f>
        <v>132.25</v>
      </c>
      <c r="H54" s="21">
        <f t="shared" si="21"/>
        <v>94.75</v>
      </c>
      <c r="I54" s="21">
        <f t="shared" si="21"/>
        <v>59.24999999999997</v>
      </c>
      <c r="J54" s="21">
        <f t="shared" si="21"/>
        <v>22.249999999999943</v>
      </c>
      <c r="K54" s="21">
        <f t="shared" si="21"/>
        <v>25.99999999999993</v>
      </c>
      <c r="L54" s="21">
        <f t="shared" si="21"/>
        <v>96.74999999999993</v>
      </c>
      <c r="M54" s="21"/>
      <c r="N54" s="36"/>
      <c r="O54" s="21"/>
      <c r="P54" s="21"/>
    </row>
    <row r="55" spans="2:16" ht="15">
      <c r="B55" s="35"/>
      <c r="C55" s="21" t="s">
        <v>59</v>
      </c>
      <c r="D55" s="21"/>
      <c r="E55" s="21"/>
      <c r="F55" s="23">
        <v>615</v>
      </c>
      <c r="G55" s="23">
        <f aca="true" t="shared" si="22" ref="G55:L55">F55-G71+G32</f>
        <v>608.85</v>
      </c>
      <c r="H55" s="23">
        <f t="shared" si="22"/>
        <v>602.7615000000001</v>
      </c>
      <c r="I55" s="23">
        <f t="shared" si="22"/>
        <v>596.7338850000001</v>
      </c>
      <c r="J55" s="23">
        <f t="shared" si="22"/>
        <v>740.7665461500001</v>
      </c>
      <c r="K55" s="23">
        <f t="shared" si="22"/>
        <v>733.3588806885001</v>
      </c>
      <c r="L55" s="23">
        <f t="shared" si="22"/>
        <v>726.0252918816151</v>
      </c>
      <c r="M55" s="23"/>
      <c r="N55" s="40"/>
      <c r="O55" s="23"/>
      <c r="P55" s="21"/>
    </row>
    <row r="56" spans="2:16" ht="12.75">
      <c r="B56" s="35"/>
      <c r="C56" s="21" t="s">
        <v>60</v>
      </c>
      <c r="D56" s="21"/>
      <c r="E56" s="21"/>
      <c r="F56" s="21">
        <f aca="true" t="shared" si="23" ref="F56:L56">SUM(F51:F55)</f>
        <v>1227</v>
      </c>
      <c r="G56" s="21">
        <f t="shared" si="23"/>
        <v>1056.2</v>
      </c>
      <c r="H56" s="21">
        <f t="shared" si="23"/>
        <v>1070.1615000000002</v>
      </c>
      <c r="I56" s="21">
        <f t="shared" si="23"/>
        <v>992.4838850000001</v>
      </c>
      <c r="J56" s="21">
        <f t="shared" si="23"/>
        <v>1045.66654615</v>
      </c>
      <c r="K56" s="21">
        <f t="shared" si="23"/>
        <v>979.2588806885</v>
      </c>
      <c r="L56" s="21">
        <f t="shared" si="23"/>
        <v>992.175291881615</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4" ref="G59:L59">F59+G18-G27</f>
        <v>148.5</v>
      </c>
      <c r="H59" s="21">
        <f t="shared" si="24"/>
        <v>125.55000000000001</v>
      </c>
      <c r="I59" s="21">
        <f t="shared" si="24"/>
        <v>96.95</v>
      </c>
      <c r="J59" s="21">
        <f t="shared" si="24"/>
        <v>75.05</v>
      </c>
      <c r="K59" s="21">
        <f t="shared" si="24"/>
        <v>81.8</v>
      </c>
      <c r="L59" s="21">
        <f t="shared" si="24"/>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5" ref="G61:L61">F61+G62*LTDInt/12-G30</f>
        <v>7.5</v>
      </c>
      <c r="H61" s="21">
        <f t="shared" si="25"/>
        <v>15</v>
      </c>
      <c r="I61" s="21">
        <f t="shared" si="25"/>
        <v>0</v>
      </c>
      <c r="J61" s="21">
        <f t="shared" si="25"/>
        <v>7.5</v>
      </c>
      <c r="K61" s="21">
        <f t="shared" si="25"/>
        <v>15</v>
      </c>
      <c r="L61" s="21">
        <f t="shared" si="25"/>
        <v>0</v>
      </c>
      <c r="M61" s="21"/>
      <c r="N61" s="36"/>
      <c r="O61" s="21"/>
      <c r="P61" s="21"/>
    </row>
    <row r="62" spans="2:16" ht="12.75">
      <c r="B62" s="35"/>
      <c r="C62" s="21" t="s">
        <v>64</v>
      </c>
      <c r="D62" s="21"/>
      <c r="E62" s="21"/>
      <c r="F62" s="21">
        <v>600</v>
      </c>
      <c r="G62" s="21">
        <f aca="true" t="shared" si="26" ref="G62:L63">F62</f>
        <v>600</v>
      </c>
      <c r="H62" s="21">
        <f t="shared" si="26"/>
        <v>600</v>
      </c>
      <c r="I62" s="21">
        <f t="shared" si="26"/>
        <v>600</v>
      </c>
      <c r="J62" s="21">
        <f t="shared" si="26"/>
        <v>600</v>
      </c>
      <c r="K62" s="21">
        <f t="shared" si="26"/>
        <v>600</v>
      </c>
      <c r="L62" s="21">
        <f t="shared" si="26"/>
        <v>600</v>
      </c>
      <c r="M62" s="21"/>
      <c r="N62" s="36"/>
      <c r="O62" s="21"/>
      <c r="P62" s="21"/>
    </row>
    <row r="63" spans="2:16" ht="12.75">
      <c r="B63" s="35"/>
      <c r="C63" s="21" t="s">
        <v>65</v>
      </c>
      <c r="D63" s="21"/>
      <c r="E63" s="21"/>
      <c r="F63" s="21">
        <v>120</v>
      </c>
      <c r="G63" s="21">
        <f t="shared" si="26"/>
        <v>120</v>
      </c>
      <c r="H63" s="21">
        <f t="shared" si="26"/>
        <v>120</v>
      </c>
      <c r="I63" s="21">
        <f t="shared" si="26"/>
        <v>120</v>
      </c>
      <c r="J63" s="21">
        <f t="shared" si="26"/>
        <v>120</v>
      </c>
      <c r="K63" s="21">
        <f t="shared" si="26"/>
        <v>120</v>
      </c>
      <c r="L63" s="21">
        <f t="shared" si="26"/>
        <v>120</v>
      </c>
      <c r="M63" s="21"/>
      <c r="N63" s="36"/>
      <c r="O63" s="21"/>
      <c r="P63" s="21"/>
    </row>
    <row r="64" spans="2:16" ht="15">
      <c r="B64" s="35"/>
      <c r="C64" s="21" t="s">
        <v>66</v>
      </c>
      <c r="D64" s="21"/>
      <c r="E64" s="21"/>
      <c r="F64" s="23">
        <v>347</v>
      </c>
      <c r="G64" s="23">
        <f aca="true" t="shared" si="27" ref="G64:L64">F64+G80</f>
        <v>363.6975</v>
      </c>
      <c r="H64" s="23">
        <f t="shared" si="27"/>
        <v>377.03552499999995</v>
      </c>
      <c r="I64" s="23">
        <f t="shared" si="27"/>
        <v>380.1282447499999</v>
      </c>
      <c r="J64" s="23">
        <f t="shared" si="27"/>
        <v>376.4173373024999</v>
      </c>
      <c r="K64" s="23">
        <f t="shared" si="27"/>
        <v>359.2869889294749</v>
      </c>
      <c r="L64" s="23">
        <f t="shared" si="27"/>
        <v>337.66664404018013</v>
      </c>
      <c r="M64" s="23"/>
      <c r="N64" s="40"/>
      <c r="O64" s="23"/>
      <c r="P64" s="21"/>
    </row>
    <row r="65" spans="2:16" ht="12.75">
      <c r="B65" s="35"/>
      <c r="C65" s="21" t="s">
        <v>67</v>
      </c>
      <c r="D65" s="21"/>
      <c r="E65" s="21"/>
      <c r="F65" s="21">
        <f aca="true" t="shared" si="28" ref="F65:L65">SUM(F59:F64)</f>
        <v>1227</v>
      </c>
      <c r="G65" s="21">
        <f t="shared" si="28"/>
        <v>1239.6975</v>
      </c>
      <c r="H65" s="21">
        <f t="shared" si="28"/>
        <v>1237.585525</v>
      </c>
      <c r="I65" s="21">
        <f t="shared" si="28"/>
        <v>1197.07824475</v>
      </c>
      <c r="J65" s="21">
        <f t="shared" si="28"/>
        <v>1178.9673373024998</v>
      </c>
      <c r="K65" s="21">
        <f t="shared" si="28"/>
        <v>1176.086988929475</v>
      </c>
      <c r="L65" s="21">
        <f t="shared" si="28"/>
        <v>1192.8666440401803</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29" ref="G70:L70">G28</f>
        <v>50</v>
      </c>
      <c r="H70" s="21">
        <f t="shared" si="29"/>
        <v>47.900000000000006</v>
      </c>
      <c r="I70" s="21">
        <f t="shared" si="29"/>
        <v>41.6</v>
      </c>
      <c r="J70" s="21">
        <f t="shared" si="29"/>
        <v>37.400000000000006</v>
      </c>
      <c r="K70" s="21">
        <f t="shared" si="29"/>
        <v>30.400000000000002</v>
      </c>
      <c r="L70" s="21">
        <f t="shared" si="29"/>
        <v>27.6</v>
      </c>
      <c r="M70" s="21"/>
      <c r="N70" s="36"/>
      <c r="O70" s="21"/>
      <c r="P70" s="21"/>
    </row>
    <row r="71" spans="2:16" ht="15">
      <c r="B71" s="35"/>
      <c r="C71" s="23" t="s">
        <v>72</v>
      </c>
      <c r="D71" s="21"/>
      <c r="E71" s="21"/>
      <c r="F71" s="21"/>
      <c r="G71" s="23">
        <f aca="true" t="shared" si="30" ref="G71:L71">F55*Depr</f>
        <v>6.15</v>
      </c>
      <c r="H71" s="23">
        <f t="shared" si="30"/>
        <v>6.088500000000001</v>
      </c>
      <c r="I71" s="23">
        <f t="shared" si="30"/>
        <v>6.027615000000001</v>
      </c>
      <c r="J71" s="23">
        <f t="shared" si="30"/>
        <v>5.967338850000001</v>
      </c>
      <c r="K71" s="23">
        <f t="shared" si="30"/>
        <v>7.407665461500001</v>
      </c>
      <c r="L71" s="23">
        <f t="shared" si="30"/>
        <v>7.333588806885001</v>
      </c>
      <c r="M71" s="23"/>
      <c r="N71" s="40"/>
      <c r="O71" s="23"/>
      <c r="P71" s="21"/>
    </row>
    <row r="72" spans="2:16" ht="12.75">
      <c r="B72" s="35"/>
      <c r="C72" s="21" t="s">
        <v>69</v>
      </c>
      <c r="D72" s="21"/>
      <c r="E72" s="21"/>
      <c r="F72" s="21"/>
      <c r="G72" s="21">
        <f aca="true" t="shared" si="31" ref="G72:L72">G68-G69-G70-G71</f>
        <v>21.35</v>
      </c>
      <c r="H72" s="21">
        <f t="shared" si="31"/>
        <v>18.86149999999999</v>
      </c>
      <c r="I72" s="21">
        <f t="shared" si="31"/>
        <v>11.272384999999975</v>
      </c>
      <c r="J72" s="21">
        <f t="shared" si="31"/>
        <v>6.232661149999988</v>
      </c>
      <c r="K72" s="21">
        <f t="shared" si="31"/>
        <v>-3.7076654615000084</v>
      </c>
      <c r="L72" s="21">
        <f t="shared" si="31"/>
        <v>-7.033588806885011</v>
      </c>
      <c r="M72" s="21"/>
      <c r="N72" s="36"/>
      <c r="O72" s="21"/>
      <c r="P72" s="21"/>
    </row>
    <row r="73" spans="2:16" ht="12.75">
      <c r="B73" s="35"/>
      <c r="C73" s="21" t="s">
        <v>93</v>
      </c>
      <c r="D73" s="21"/>
      <c r="E73" s="21"/>
      <c r="F73" s="21"/>
      <c r="G73" s="21">
        <f aca="true" t="shared" si="32" ref="G73:L73">F62*LTDInt/12</f>
        <v>7.5</v>
      </c>
      <c r="H73" s="21">
        <f t="shared" si="32"/>
        <v>7.5</v>
      </c>
      <c r="I73" s="21">
        <f t="shared" si="32"/>
        <v>7.5</v>
      </c>
      <c r="J73" s="21">
        <f t="shared" si="32"/>
        <v>7.5</v>
      </c>
      <c r="K73" s="21">
        <f t="shared" si="32"/>
        <v>7.5</v>
      </c>
      <c r="L73" s="21">
        <f t="shared" si="32"/>
        <v>7.5</v>
      </c>
      <c r="M73" s="21"/>
      <c r="N73" s="36"/>
      <c r="O73" s="21"/>
      <c r="P73" s="21"/>
    </row>
    <row r="74" spans="2:16" ht="12.75">
      <c r="B74" s="35"/>
      <c r="C74" s="43" t="s">
        <v>91</v>
      </c>
      <c r="D74" s="21"/>
      <c r="E74" s="21"/>
      <c r="F74" s="21"/>
      <c r="G74" s="21">
        <f>-STInt*'16'!F52</f>
        <v>-0.6749999999999999</v>
      </c>
      <c r="H74" s="21">
        <f>-STInt*'16'!G52</f>
        <v>0</v>
      </c>
      <c r="I74" s="21">
        <f>-STInt*'16'!H52</f>
        <v>0</v>
      </c>
      <c r="J74" s="21">
        <f>-STInt*'16'!I52</f>
        <v>0</v>
      </c>
      <c r="K74" s="21">
        <f>-STInt*'16'!J52</f>
        <v>0</v>
      </c>
      <c r="L74" s="21">
        <f>-STInt*'16'!K52</f>
        <v>0</v>
      </c>
      <c r="M74" s="21"/>
      <c r="N74" s="36"/>
      <c r="O74" s="21"/>
      <c r="P74" s="21"/>
    </row>
    <row r="75" spans="2:16" ht="15">
      <c r="B75" s="35"/>
      <c r="C75" s="23" t="s">
        <v>94</v>
      </c>
      <c r="D75" s="21"/>
      <c r="E75" s="21"/>
      <c r="F75" s="21"/>
      <c r="G75" s="21">
        <f>STInt*'16'!F60</f>
        <v>0</v>
      </c>
      <c r="H75" s="21">
        <f>STInt*'16'!G60</f>
        <v>0</v>
      </c>
      <c r="I75" s="21">
        <f>STInt*'16'!H60</f>
        <v>0</v>
      </c>
      <c r="J75" s="21">
        <f>STInt*'16'!I60</f>
        <v>0</v>
      </c>
      <c r="K75" s="21">
        <f>STInt*'16'!J60</f>
        <v>0</v>
      </c>
      <c r="L75" s="21">
        <f>STInt*'16'!K60</f>
        <v>0</v>
      </c>
      <c r="M75" s="23"/>
      <c r="N75" s="40"/>
      <c r="O75" s="23"/>
      <c r="P75" s="21"/>
    </row>
    <row r="76" spans="2:16" ht="12.75">
      <c r="B76" s="35"/>
      <c r="C76" s="21" t="s">
        <v>73</v>
      </c>
      <c r="D76" s="21"/>
      <c r="E76" s="21"/>
      <c r="F76" s="21"/>
      <c r="G76" s="21">
        <f aca="true" t="shared" si="33" ref="G76:L76">G72-G73</f>
        <v>13.850000000000001</v>
      </c>
      <c r="H76" s="21">
        <f t="shared" si="33"/>
        <v>11.361499999999989</v>
      </c>
      <c r="I76" s="21">
        <f t="shared" si="33"/>
        <v>3.772384999999975</v>
      </c>
      <c r="J76" s="21">
        <f t="shared" si="33"/>
        <v>-1.2673388500000122</v>
      </c>
      <c r="K76" s="21">
        <f t="shared" si="33"/>
        <v>-11.207665461500008</v>
      </c>
      <c r="L76" s="21">
        <f t="shared" si="33"/>
        <v>-14.53358880688501</v>
      </c>
      <c r="M76" s="21"/>
      <c r="N76" s="36"/>
      <c r="O76" s="21"/>
      <c r="P76" s="21"/>
    </row>
    <row r="77" spans="2:16" ht="15">
      <c r="B77" s="35"/>
      <c r="C77" s="23" t="s">
        <v>74</v>
      </c>
      <c r="D77" s="21"/>
      <c r="E77" s="21"/>
      <c r="F77" s="21"/>
      <c r="G77" s="23">
        <f aca="true" t="shared" si="34" ref="G77:L77">G76*TaxRate</f>
        <v>4.8475</v>
      </c>
      <c r="H77" s="23">
        <f t="shared" si="34"/>
        <v>3.9765249999999956</v>
      </c>
      <c r="I77" s="23">
        <f t="shared" si="34"/>
        <v>1.3203347499999911</v>
      </c>
      <c r="J77" s="23">
        <f t="shared" si="34"/>
        <v>-0.44356859750000427</v>
      </c>
      <c r="K77" s="23">
        <f t="shared" si="34"/>
        <v>-3.9226829115250026</v>
      </c>
      <c r="L77" s="23">
        <f t="shared" si="34"/>
        <v>-5.086756082409753</v>
      </c>
      <c r="M77" s="23"/>
      <c r="N77" s="40"/>
      <c r="O77" s="23"/>
      <c r="P77" s="21"/>
    </row>
    <row r="78" spans="2:16" ht="12.75">
      <c r="B78" s="35"/>
      <c r="C78" s="21" t="s">
        <v>75</v>
      </c>
      <c r="D78" s="21"/>
      <c r="E78" s="21"/>
      <c r="F78" s="21"/>
      <c r="G78" s="21">
        <f aca="true" t="shared" si="35" ref="G78:L78">SUM(G76:G77)</f>
        <v>18.6975</v>
      </c>
      <c r="H78" s="21">
        <f t="shared" si="35"/>
        <v>15.338024999999984</v>
      </c>
      <c r="I78" s="21">
        <f t="shared" si="35"/>
        <v>5.092719749999966</v>
      </c>
      <c r="J78" s="21">
        <f t="shared" si="35"/>
        <v>-1.7109074475000166</v>
      </c>
      <c r="K78" s="21">
        <f t="shared" si="35"/>
        <v>-15.130348373025011</v>
      </c>
      <c r="L78" s="21">
        <f t="shared" si="35"/>
        <v>-19.620344889294763</v>
      </c>
      <c r="M78" s="21"/>
      <c r="N78" s="36"/>
      <c r="O78" s="21"/>
      <c r="P78" s="21"/>
    </row>
    <row r="79" spans="2:16" ht="15">
      <c r="B79" s="35"/>
      <c r="C79" s="23" t="s">
        <v>76</v>
      </c>
      <c r="D79" s="21"/>
      <c r="E79" s="21"/>
      <c r="F79" s="21"/>
      <c r="G79" s="23">
        <f aca="true" t="shared" si="36" ref="G79:L79">G31</f>
        <v>2</v>
      </c>
      <c r="H79" s="23">
        <f t="shared" si="36"/>
        <v>2</v>
      </c>
      <c r="I79" s="23">
        <f t="shared" si="36"/>
        <v>2</v>
      </c>
      <c r="J79" s="23">
        <f t="shared" si="36"/>
        <v>2</v>
      </c>
      <c r="K79" s="23">
        <f t="shared" si="36"/>
        <v>2</v>
      </c>
      <c r="L79" s="23">
        <f t="shared" si="36"/>
        <v>2</v>
      </c>
      <c r="M79" s="23"/>
      <c r="N79" s="40"/>
      <c r="O79" s="23"/>
      <c r="P79" s="21"/>
    </row>
    <row r="80" spans="2:16" ht="12.75">
      <c r="B80" s="35"/>
      <c r="C80" s="21" t="s">
        <v>66</v>
      </c>
      <c r="D80" s="21"/>
      <c r="E80" s="21"/>
      <c r="F80" s="21"/>
      <c r="G80" s="21">
        <f aca="true" t="shared" si="37" ref="G80:L80">G78-G79</f>
        <v>16.6975</v>
      </c>
      <c r="H80" s="21">
        <f t="shared" si="37"/>
        <v>13.338024999999984</v>
      </c>
      <c r="I80" s="21">
        <f t="shared" si="37"/>
        <v>3.092719749999966</v>
      </c>
      <c r="J80" s="21">
        <f t="shared" si="37"/>
        <v>-3.7109074475000163</v>
      </c>
      <c r="K80" s="21">
        <f t="shared" si="37"/>
        <v>-17.13034837302501</v>
      </c>
      <c r="L80" s="21">
        <f t="shared" si="37"/>
        <v>-21.620344889294763</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B1:Q82"/>
  <sheetViews>
    <sheetView workbookViewId="0" topLeftCell="A32">
      <selection activeCell="G47" sqref="G47"/>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f aca="true" t="shared" si="10" ref="G23:L23">-G74</f>
        <v>0.6749999999999999</v>
      </c>
      <c r="H23" s="23">
        <f t="shared" si="10"/>
        <v>0</v>
      </c>
      <c r="I23" s="23">
        <f t="shared" si="10"/>
        <v>0</v>
      </c>
      <c r="J23" s="23">
        <f t="shared" si="10"/>
        <v>0</v>
      </c>
      <c r="K23" s="23">
        <f t="shared" si="10"/>
        <v>0</v>
      </c>
      <c r="L23" s="23">
        <f t="shared" si="10"/>
        <v>0</v>
      </c>
      <c r="M23" s="21"/>
      <c r="N23" s="36"/>
      <c r="O23" s="21"/>
      <c r="P23" s="21"/>
    </row>
    <row r="24" spans="2:16" ht="12.75">
      <c r="B24" s="35"/>
      <c r="C24" s="21" t="s">
        <v>78</v>
      </c>
      <c r="D24" s="21"/>
      <c r="E24" s="21"/>
      <c r="F24" s="21"/>
      <c r="G24" s="21">
        <f aca="true" t="shared" si="11" ref="G24:L24">SUM(G22:G23)</f>
        <v>128.07500000000002</v>
      </c>
      <c r="H24" s="21">
        <f t="shared" si="11"/>
        <v>175.1</v>
      </c>
      <c r="I24" s="21">
        <f t="shared" si="11"/>
        <v>224.25</v>
      </c>
      <c r="J24" s="21">
        <f t="shared" si="11"/>
        <v>212.25</v>
      </c>
      <c r="K24" s="21">
        <f t="shared" si="11"/>
        <v>171.65</v>
      </c>
      <c r="L24" s="21">
        <f t="shared" si="11"/>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2" ref="G27:L27">F18</f>
        <v>156.75</v>
      </c>
      <c r="H27" s="21">
        <f t="shared" si="12"/>
        <v>145.25</v>
      </c>
      <c r="I27" s="21">
        <f t="shared" si="12"/>
        <v>122.3</v>
      </c>
      <c r="J27" s="21">
        <f t="shared" si="12"/>
        <v>93.7</v>
      </c>
      <c r="K27" s="21">
        <f t="shared" si="12"/>
        <v>71.8</v>
      </c>
      <c r="L27" s="21">
        <f t="shared" si="12"/>
        <v>78.55</v>
      </c>
      <c r="M27" s="21"/>
      <c r="N27" s="36"/>
      <c r="O27" s="21"/>
      <c r="P27" s="21"/>
    </row>
    <row r="28" spans="2:16" ht="12.75">
      <c r="B28" s="35"/>
      <c r="C28" s="21" t="s">
        <v>15</v>
      </c>
      <c r="D28" s="21"/>
      <c r="E28" s="21"/>
      <c r="F28" s="21"/>
      <c r="G28" s="21">
        <f aca="true" t="shared" si="13" ref="G28:L28">G5*SWVariable+SWFixed/1000</f>
        <v>50</v>
      </c>
      <c r="H28" s="21">
        <f t="shared" si="13"/>
        <v>47.900000000000006</v>
      </c>
      <c r="I28" s="21">
        <f t="shared" si="13"/>
        <v>41.6</v>
      </c>
      <c r="J28" s="21">
        <f t="shared" si="13"/>
        <v>37.400000000000006</v>
      </c>
      <c r="K28" s="21">
        <f t="shared" si="13"/>
        <v>30.400000000000002</v>
      </c>
      <c r="L28" s="21">
        <f t="shared" si="13"/>
        <v>27.6</v>
      </c>
      <c r="M28" s="21"/>
      <c r="N28" s="36"/>
      <c r="O28" s="21"/>
      <c r="P28" s="21"/>
    </row>
    <row r="29" spans="2:16" ht="12.75">
      <c r="B29" s="35"/>
      <c r="C29" s="21" t="s">
        <v>90</v>
      </c>
      <c r="D29" s="21"/>
      <c r="E29" s="21"/>
      <c r="F29" s="21"/>
      <c r="G29" s="21">
        <f aca="true" t="shared" si="14" ref="G29:L29">G75</f>
        <v>0</v>
      </c>
      <c r="H29" s="21">
        <f t="shared" si="14"/>
        <v>0</v>
      </c>
      <c r="I29" s="21">
        <f t="shared" si="14"/>
        <v>0</v>
      </c>
      <c r="J29" s="21">
        <f t="shared" si="14"/>
        <v>0</v>
      </c>
      <c r="K29" s="21">
        <f t="shared" si="14"/>
        <v>0</v>
      </c>
      <c r="L29" s="21">
        <f t="shared" si="14"/>
        <v>0</v>
      </c>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f aca="true" t="shared" si="15" ref="G33:L33">G77</f>
        <v>5.08375</v>
      </c>
      <c r="H33" s="23">
        <f t="shared" si="15"/>
        <v>3.9765249999999956</v>
      </c>
      <c r="I33" s="23">
        <f t="shared" si="15"/>
        <v>1.3203347499999911</v>
      </c>
      <c r="J33" s="23">
        <f t="shared" si="15"/>
        <v>-0.44356859750000427</v>
      </c>
      <c r="K33" s="23">
        <f t="shared" si="15"/>
        <v>-3.9226829115250026</v>
      </c>
      <c r="L33" s="23">
        <f t="shared" si="15"/>
        <v>-5.086756082409753</v>
      </c>
      <c r="M33" s="23"/>
      <c r="N33" s="40"/>
      <c r="O33" s="23"/>
      <c r="P33" s="21"/>
    </row>
    <row r="34" spans="2:16" ht="12.75">
      <c r="B34" s="35"/>
      <c r="C34" s="21" t="s">
        <v>48</v>
      </c>
      <c r="D34" s="21"/>
      <c r="E34" s="21"/>
      <c r="F34" s="21"/>
      <c r="G34" s="21">
        <f aca="true" t="shared" si="16" ref="G34:L34">SUM(G27:G33)</f>
        <v>213.83375</v>
      </c>
      <c r="H34" s="21">
        <f t="shared" si="16"/>
        <v>199.12652500000002</v>
      </c>
      <c r="I34" s="21">
        <f t="shared" si="16"/>
        <v>189.72033475</v>
      </c>
      <c r="J34" s="21">
        <f t="shared" si="16"/>
        <v>282.6564314025</v>
      </c>
      <c r="K34" s="21">
        <f t="shared" si="16"/>
        <v>100.277317088475</v>
      </c>
      <c r="L34" s="21">
        <f t="shared" si="16"/>
        <v>125.56324391759026</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7" ref="G36:L36">G24-G34</f>
        <v>-85.75874999999999</v>
      </c>
      <c r="H36" s="21">
        <f t="shared" si="17"/>
        <v>-24.02652500000002</v>
      </c>
      <c r="I36" s="21">
        <f t="shared" si="17"/>
        <v>34.529665249999994</v>
      </c>
      <c r="J36" s="21">
        <f t="shared" si="17"/>
        <v>-70.4064314025</v>
      </c>
      <c r="K36" s="21">
        <f t="shared" si="17"/>
        <v>71.372682911525</v>
      </c>
      <c r="L36" s="21">
        <f t="shared" si="17"/>
        <v>14.036756082409738</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f>Inputs!$G$15/1000+Inputs!$G$16*'24'!H28+Inputs!$G$17*'24'!G59</f>
        <v>157.51</v>
      </c>
      <c r="H39" s="21">
        <f>Inputs!$G$15/1000+Inputs!$G$16*'24'!I28+Inputs!$G$17*'24'!H59</f>
        <v>136.20250000000001</v>
      </c>
      <c r="I39" s="21">
        <f>Inputs!$G$15/1000+Inputs!$G$16*'24'!J28+Inputs!$G$17*'24'!I59</f>
        <v>112.02250000000001</v>
      </c>
      <c r="J39" s="21">
        <f>Inputs!$G$15/1000+Inputs!$G$16*'24'!K28+Inputs!$G$17*'24'!J59</f>
        <v>91.0475</v>
      </c>
      <c r="K39" s="21">
        <f>Inputs!$G$15/1000+Inputs!$G$16*'24'!L28+Inputs!$G$17*'24'!K59</f>
        <v>94.28999999999999</v>
      </c>
      <c r="L39" s="21">
        <f>Inputs!$G$15/1000+Inputs!$G$16*'24'!M28+Inputs!$G$17*'24'!L59</f>
        <v>116.39999999999999</v>
      </c>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157.51</v>
      </c>
      <c r="I42" s="21">
        <f>H45</f>
        <v>136.20250000000001</v>
      </c>
      <c r="J42" s="21">
        <f>I45</f>
        <v>112.02250000000001</v>
      </c>
      <c r="K42" s="21">
        <f>J45</f>
        <v>91.0475</v>
      </c>
      <c r="L42" s="21">
        <f>K45</f>
        <v>94.28999999999999</v>
      </c>
      <c r="M42" s="21"/>
      <c r="N42" s="36"/>
      <c r="O42" s="21"/>
      <c r="P42" s="21"/>
    </row>
    <row r="43" spans="2:16" ht="12.75">
      <c r="B43" s="35"/>
      <c r="C43" s="21" t="s">
        <v>51</v>
      </c>
      <c r="D43" s="21"/>
      <c r="E43" s="21"/>
      <c r="F43" s="21"/>
      <c r="G43" s="21">
        <f aca="true" t="shared" si="18" ref="G43:L43">+G36</f>
        <v>-85.75874999999999</v>
      </c>
      <c r="H43" s="21">
        <f t="shared" si="18"/>
        <v>-24.02652500000002</v>
      </c>
      <c r="I43" s="21">
        <f t="shared" si="18"/>
        <v>34.529665249999994</v>
      </c>
      <c r="J43" s="21">
        <f t="shared" si="18"/>
        <v>-70.4064314025</v>
      </c>
      <c r="K43" s="21">
        <f t="shared" si="18"/>
        <v>71.372682911525</v>
      </c>
      <c r="L43" s="21">
        <f t="shared" si="18"/>
        <v>14.036756082409738</v>
      </c>
      <c r="M43" s="21"/>
      <c r="N43" s="36"/>
      <c r="O43" s="21"/>
      <c r="P43" s="21"/>
    </row>
    <row r="44" spans="2:16" ht="15">
      <c r="B44" s="35"/>
      <c r="C44" s="21" t="s">
        <v>79</v>
      </c>
      <c r="D44" s="21"/>
      <c r="E44" s="21"/>
      <c r="F44" s="21"/>
      <c r="G44" s="23">
        <f aca="true" t="shared" si="19" ref="G44:L44">G42+G43-G45</f>
        <v>-73.26874999999998</v>
      </c>
      <c r="H44" s="23">
        <f t="shared" si="19"/>
        <v>-2.7190250000000447</v>
      </c>
      <c r="I44" s="23">
        <f t="shared" si="19"/>
        <v>58.70966525</v>
      </c>
      <c r="J44" s="23">
        <f t="shared" si="19"/>
        <v>-49.431431402499996</v>
      </c>
      <c r="K44" s="23">
        <f t="shared" si="19"/>
        <v>68.130182911525</v>
      </c>
      <c r="L44" s="23">
        <f t="shared" si="19"/>
        <v>-8.073243917590261</v>
      </c>
      <c r="M44" s="23"/>
      <c r="N44" s="40"/>
      <c r="O44" s="23"/>
      <c r="P44" s="21"/>
    </row>
    <row r="45" spans="2:16" ht="12.75">
      <c r="B45" s="35"/>
      <c r="C45" s="21" t="s">
        <v>53</v>
      </c>
      <c r="D45" s="21"/>
      <c r="E45" s="21"/>
      <c r="F45" s="21"/>
      <c r="G45" s="21">
        <f aca="true" t="shared" si="20" ref="G45:L45">G39</f>
        <v>157.51</v>
      </c>
      <c r="H45" s="21">
        <f t="shared" si="20"/>
        <v>136.20250000000001</v>
      </c>
      <c r="I45" s="21">
        <f t="shared" si="20"/>
        <v>112.02250000000001</v>
      </c>
      <c r="J45" s="21">
        <f t="shared" si="20"/>
        <v>91.0475</v>
      </c>
      <c r="K45" s="21">
        <f t="shared" si="20"/>
        <v>94.28999999999999</v>
      </c>
      <c r="L45" s="21">
        <f t="shared" si="20"/>
        <v>116.39999999999999</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f aca="true" t="shared" si="21" ref="G53:L53">F53+G68-G12</f>
        <v>315.1</v>
      </c>
      <c r="H53" s="21">
        <f t="shared" si="21"/>
        <v>372.65</v>
      </c>
      <c r="I53" s="21">
        <f t="shared" si="21"/>
        <v>336.5</v>
      </c>
      <c r="J53" s="21">
        <f t="shared" si="21"/>
        <v>282.65</v>
      </c>
      <c r="K53" s="21">
        <f t="shared" si="21"/>
        <v>219.89999999999995</v>
      </c>
      <c r="L53" s="21">
        <f t="shared" si="21"/>
        <v>169.39999999999995</v>
      </c>
      <c r="M53" s="21"/>
      <c r="N53" s="36"/>
      <c r="O53" s="21"/>
      <c r="P53" s="21"/>
    </row>
    <row r="54" spans="2:16" ht="12.75">
      <c r="B54" s="35"/>
      <c r="C54" s="21" t="s">
        <v>58</v>
      </c>
      <c r="D54" s="21"/>
      <c r="E54" s="21"/>
      <c r="F54" s="21">
        <v>157</v>
      </c>
      <c r="G54" s="21">
        <f aca="true" t="shared" si="22" ref="G54:L54">F54+G18-G69</f>
        <v>132.25</v>
      </c>
      <c r="H54" s="21">
        <f t="shared" si="22"/>
        <v>94.75</v>
      </c>
      <c r="I54" s="21">
        <f t="shared" si="22"/>
        <v>59.24999999999997</v>
      </c>
      <c r="J54" s="21">
        <f t="shared" si="22"/>
        <v>22.249999999999943</v>
      </c>
      <c r="K54" s="21">
        <f t="shared" si="22"/>
        <v>25.99999999999993</v>
      </c>
      <c r="L54" s="21">
        <f t="shared" si="22"/>
        <v>96.74999999999993</v>
      </c>
      <c r="M54" s="21"/>
      <c r="N54" s="36"/>
      <c r="O54" s="21"/>
      <c r="P54" s="21"/>
    </row>
    <row r="55" spans="2:16" ht="15">
      <c r="B55" s="35"/>
      <c r="C55" s="21" t="s">
        <v>59</v>
      </c>
      <c r="D55" s="21"/>
      <c r="E55" s="21"/>
      <c r="F55" s="23">
        <v>615</v>
      </c>
      <c r="G55" s="23">
        <f aca="true" t="shared" si="23" ref="G55:L55">F55-G71+G32</f>
        <v>608.85</v>
      </c>
      <c r="H55" s="23">
        <f t="shared" si="23"/>
        <v>602.7615000000001</v>
      </c>
      <c r="I55" s="23">
        <f t="shared" si="23"/>
        <v>596.7338850000001</v>
      </c>
      <c r="J55" s="23">
        <f t="shared" si="23"/>
        <v>740.7665461500001</v>
      </c>
      <c r="K55" s="23">
        <f t="shared" si="23"/>
        <v>733.3588806885001</v>
      </c>
      <c r="L55" s="23">
        <f t="shared" si="23"/>
        <v>726.0252918816151</v>
      </c>
      <c r="M55" s="23"/>
      <c r="N55" s="40"/>
      <c r="O55" s="23"/>
      <c r="P55" s="21"/>
    </row>
    <row r="56" spans="2:16" ht="12.75">
      <c r="B56" s="35"/>
      <c r="C56" s="21" t="s">
        <v>60</v>
      </c>
      <c r="D56" s="21"/>
      <c r="E56" s="21"/>
      <c r="F56" s="21">
        <f aca="true" t="shared" si="24" ref="F56:L56">SUM(F51:F55)</f>
        <v>1227</v>
      </c>
      <c r="G56" s="21">
        <f t="shared" si="24"/>
        <v>1056.2</v>
      </c>
      <c r="H56" s="21">
        <f t="shared" si="24"/>
        <v>1070.1615000000002</v>
      </c>
      <c r="I56" s="21">
        <f t="shared" si="24"/>
        <v>992.4838850000001</v>
      </c>
      <c r="J56" s="21">
        <f t="shared" si="24"/>
        <v>1045.66654615</v>
      </c>
      <c r="K56" s="21">
        <f t="shared" si="24"/>
        <v>979.2588806885</v>
      </c>
      <c r="L56" s="21">
        <f t="shared" si="24"/>
        <v>992.175291881615</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5" ref="G59:L59">F59+G18-G27</f>
        <v>148.5</v>
      </c>
      <c r="H59" s="21">
        <f t="shared" si="25"/>
        <v>125.55000000000001</v>
      </c>
      <c r="I59" s="21">
        <f t="shared" si="25"/>
        <v>96.95</v>
      </c>
      <c r="J59" s="21">
        <f t="shared" si="25"/>
        <v>75.05</v>
      </c>
      <c r="K59" s="21">
        <f t="shared" si="25"/>
        <v>81.8</v>
      </c>
      <c r="L59" s="21">
        <f t="shared" si="25"/>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6" ref="G61:L61">F61+G62*LTDInt/12-G30</f>
        <v>7.5</v>
      </c>
      <c r="H61" s="21">
        <f t="shared" si="26"/>
        <v>15</v>
      </c>
      <c r="I61" s="21">
        <f t="shared" si="26"/>
        <v>0</v>
      </c>
      <c r="J61" s="21">
        <f t="shared" si="26"/>
        <v>7.5</v>
      </c>
      <c r="K61" s="21">
        <f t="shared" si="26"/>
        <v>15</v>
      </c>
      <c r="L61" s="21">
        <f t="shared" si="26"/>
        <v>0</v>
      </c>
      <c r="M61" s="21"/>
      <c r="N61" s="36"/>
      <c r="O61" s="21"/>
      <c r="P61" s="21"/>
    </row>
    <row r="62" spans="2:16" ht="12.75">
      <c r="B62" s="35"/>
      <c r="C62" s="21" t="s">
        <v>64</v>
      </c>
      <c r="D62" s="21"/>
      <c r="E62" s="21"/>
      <c r="F62" s="21">
        <v>600</v>
      </c>
      <c r="G62" s="21">
        <f aca="true" t="shared" si="27" ref="G62:L63">F62</f>
        <v>600</v>
      </c>
      <c r="H62" s="21">
        <f t="shared" si="27"/>
        <v>600</v>
      </c>
      <c r="I62" s="21">
        <f t="shared" si="27"/>
        <v>600</v>
      </c>
      <c r="J62" s="21">
        <f t="shared" si="27"/>
        <v>600</v>
      </c>
      <c r="K62" s="21">
        <f t="shared" si="27"/>
        <v>600</v>
      </c>
      <c r="L62" s="21">
        <f t="shared" si="27"/>
        <v>600</v>
      </c>
      <c r="M62" s="21"/>
      <c r="N62" s="36"/>
      <c r="O62" s="21"/>
      <c r="P62" s="21"/>
    </row>
    <row r="63" spans="2:16" ht="12.75">
      <c r="B63" s="35"/>
      <c r="C63" s="21" t="s">
        <v>65</v>
      </c>
      <c r="D63" s="21"/>
      <c r="E63" s="21"/>
      <c r="F63" s="21">
        <v>120</v>
      </c>
      <c r="G63" s="21">
        <f t="shared" si="27"/>
        <v>120</v>
      </c>
      <c r="H63" s="21">
        <f t="shared" si="27"/>
        <v>120</v>
      </c>
      <c r="I63" s="21">
        <f t="shared" si="27"/>
        <v>120</v>
      </c>
      <c r="J63" s="21">
        <f t="shared" si="27"/>
        <v>120</v>
      </c>
      <c r="K63" s="21">
        <f t="shared" si="27"/>
        <v>120</v>
      </c>
      <c r="L63" s="21">
        <f t="shared" si="27"/>
        <v>120</v>
      </c>
      <c r="M63" s="21"/>
      <c r="N63" s="36"/>
      <c r="O63" s="21"/>
      <c r="P63" s="21"/>
    </row>
    <row r="64" spans="2:16" ht="15">
      <c r="B64" s="35"/>
      <c r="C64" s="21" t="s">
        <v>66</v>
      </c>
      <c r="D64" s="21"/>
      <c r="E64" s="21"/>
      <c r="F64" s="23">
        <v>347</v>
      </c>
      <c r="G64" s="23">
        <f aca="true" t="shared" si="28" ref="G64:L64">F64+G80</f>
        <v>354.44125</v>
      </c>
      <c r="H64" s="23">
        <f t="shared" si="28"/>
        <v>359.826225</v>
      </c>
      <c r="I64" s="23">
        <f t="shared" si="28"/>
        <v>360.27827525</v>
      </c>
      <c r="J64" s="23">
        <f t="shared" si="28"/>
        <v>357.45450499749995</v>
      </c>
      <c r="K64" s="23">
        <f t="shared" si="28"/>
        <v>348.16952244752497</v>
      </c>
      <c r="L64" s="23">
        <f t="shared" si="28"/>
        <v>336.7226897230497</v>
      </c>
      <c r="M64" s="23"/>
      <c r="N64" s="40"/>
      <c r="O64" s="23"/>
      <c r="P64" s="21"/>
    </row>
    <row r="65" spans="2:16" ht="12.75">
      <c r="B65" s="35"/>
      <c r="C65" s="21" t="s">
        <v>67</v>
      </c>
      <c r="D65" s="21"/>
      <c r="E65" s="21"/>
      <c r="F65" s="21">
        <f aca="true" t="shared" si="29" ref="F65:L65">SUM(F59:F64)</f>
        <v>1227</v>
      </c>
      <c r="G65" s="21">
        <f t="shared" si="29"/>
        <v>1230.44125</v>
      </c>
      <c r="H65" s="21">
        <f t="shared" si="29"/>
        <v>1220.376225</v>
      </c>
      <c r="I65" s="21">
        <f t="shared" si="29"/>
        <v>1177.22827525</v>
      </c>
      <c r="J65" s="21">
        <f t="shared" si="29"/>
        <v>1160.0045049975</v>
      </c>
      <c r="K65" s="21">
        <f t="shared" si="29"/>
        <v>1164.969522447525</v>
      </c>
      <c r="L65" s="21">
        <f t="shared" si="29"/>
        <v>1191.9226897230496</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30" ref="G70:L70">G28</f>
        <v>50</v>
      </c>
      <c r="H70" s="21">
        <f t="shared" si="30"/>
        <v>47.900000000000006</v>
      </c>
      <c r="I70" s="21">
        <f t="shared" si="30"/>
        <v>41.6</v>
      </c>
      <c r="J70" s="21">
        <f t="shared" si="30"/>
        <v>37.400000000000006</v>
      </c>
      <c r="K70" s="21">
        <f t="shared" si="30"/>
        <v>30.400000000000002</v>
      </c>
      <c r="L70" s="21">
        <f t="shared" si="30"/>
        <v>27.6</v>
      </c>
      <c r="M70" s="21"/>
      <c r="N70" s="36"/>
      <c r="O70" s="21"/>
      <c r="P70" s="21"/>
    </row>
    <row r="71" spans="2:16" ht="15">
      <c r="B71" s="35"/>
      <c r="C71" s="23" t="s">
        <v>72</v>
      </c>
      <c r="D71" s="21"/>
      <c r="E71" s="21"/>
      <c r="F71" s="21"/>
      <c r="G71" s="23">
        <f aca="true" t="shared" si="31" ref="G71:L71">F55*Depr</f>
        <v>6.15</v>
      </c>
      <c r="H71" s="23">
        <f t="shared" si="31"/>
        <v>6.088500000000001</v>
      </c>
      <c r="I71" s="23">
        <f t="shared" si="31"/>
        <v>6.027615000000001</v>
      </c>
      <c r="J71" s="23">
        <f t="shared" si="31"/>
        <v>5.967338850000001</v>
      </c>
      <c r="K71" s="23">
        <f t="shared" si="31"/>
        <v>7.407665461500001</v>
      </c>
      <c r="L71" s="23">
        <f t="shared" si="31"/>
        <v>7.333588806885001</v>
      </c>
      <c r="M71" s="23"/>
      <c r="N71" s="40"/>
      <c r="O71" s="23"/>
      <c r="P71" s="21"/>
    </row>
    <row r="72" spans="2:16" ht="12.75">
      <c r="B72" s="35"/>
      <c r="C72" s="21" t="s">
        <v>69</v>
      </c>
      <c r="D72" s="21"/>
      <c r="E72" s="21"/>
      <c r="F72" s="21"/>
      <c r="G72" s="21">
        <f aca="true" t="shared" si="32" ref="G72:L72">G68-G69-G70-G71</f>
        <v>21.35</v>
      </c>
      <c r="H72" s="21">
        <f t="shared" si="32"/>
        <v>18.86149999999999</v>
      </c>
      <c r="I72" s="21">
        <f t="shared" si="32"/>
        <v>11.272384999999975</v>
      </c>
      <c r="J72" s="21">
        <f t="shared" si="32"/>
        <v>6.232661149999988</v>
      </c>
      <c r="K72" s="21">
        <f t="shared" si="32"/>
        <v>-3.7076654615000084</v>
      </c>
      <c r="L72" s="21">
        <f t="shared" si="32"/>
        <v>-7.033588806885011</v>
      </c>
      <c r="M72" s="21"/>
      <c r="N72" s="36"/>
      <c r="O72" s="21"/>
      <c r="P72" s="21"/>
    </row>
    <row r="73" spans="2:16" ht="12.75">
      <c r="B73" s="35"/>
      <c r="C73" s="21" t="s">
        <v>93</v>
      </c>
      <c r="D73" s="21"/>
      <c r="E73" s="21"/>
      <c r="F73" s="21"/>
      <c r="G73" s="21">
        <f aca="true" t="shared" si="33" ref="G73:L73">F62*LTDInt/12</f>
        <v>7.5</v>
      </c>
      <c r="H73" s="21">
        <f t="shared" si="33"/>
        <v>7.5</v>
      </c>
      <c r="I73" s="21">
        <f t="shared" si="33"/>
        <v>7.5</v>
      </c>
      <c r="J73" s="21">
        <f t="shared" si="33"/>
        <v>7.5</v>
      </c>
      <c r="K73" s="21">
        <f t="shared" si="33"/>
        <v>7.5</v>
      </c>
      <c r="L73" s="21">
        <f t="shared" si="33"/>
        <v>7.5</v>
      </c>
      <c r="M73" s="21"/>
      <c r="N73" s="36"/>
      <c r="O73" s="21"/>
      <c r="P73" s="21"/>
    </row>
    <row r="74" spans="2:16" ht="12.75">
      <c r="B74" s="35"/>
      <c r="C74" s="43" t="s">
        <v>91</v>
      </c>
      <c r="D74" s="21"/>
      <c r="E74" s="21"/>
      <c r="F74" s="21"/>
      <c r="G74" s="21">
        <f aca="true" t="shared" si="34" ref="G74:L74">-STInt*F52</f>
        <v>-0.6749999999999999</v>
      </c>
      <c r="H74" s="21">
        <f t="shared" si="34"/>
        <v>0</v>
      </c>
      <c r="I74" s="21">
        <f t="shared" si="34"/>
        <v>0</v>
      </c>
      <c r="J74" s="21">
        <f t="shared" si="34"/>
        <v>0</v>
      </c>
      <c r="K74" s="21">
        <f t="shared" si="34"/>
        <v>0</v>
      </c>
      <c r="L74" s="21">
        <f t="shared" si="34"/>
        <v>0</v>
      </c>
      <c r="M74" s="21"/>
      <c r="N74" s="36"/>
      <c r="O74" s="21"/>
      <c r="P74" s="21"/>
    </row>
    <row r="75" spans="2:16" ht="15">
      <c r="B75" s="35"/>
      <c r="C75" s="23" t="s">
        <v>94</v>
      </c>
      <c r="D75" s="21"/>
      <c r="E75" s="21"/>
      <c r="F75" s="21"/>
      <c r="G75" s="23">
        <f>STInt*'16'!F60</f>
        <v>0</v>
      </c>
      <c r="H75" s="23">
        <f>STInt*'16'!G60</f>
        <v>0</v>
      </c>
      <c r="I75" s="23">
        <f>STInt*'16'!H60</f>
        <v>0</v>
      </c>
      <c r="J75" s="23">
        <f>STInt*'16'!I60</f>
        <v>0</v>
      </c>
      <c r="K75" s="23">
        <f>STInt*'16'!J60</f>
        <v>0</v>
      </c>
      <c r="L75" s="23">
        <f>STInt*'16'!K60</f>
        <v>0</v>
      </c>
      <c r="M75" s="23"/>
      <c r="N75" s="40"/>
      <c r="O75" s="23"/>
      <c r="P75" s="21"/>
    </row>
    <row r="76" spans="2:16" ht="12.75">
      <c r="B76" s="35"/>
      <c r="C76" s="21" t="s">
        <v>73</v>
      </c>
      <c r="D76" s="21"/>
      <c r="E76" s="21"/>
      <c r="F76" s="21"/>
      <c r="G76" s="43">
        <f aca="true" t="shared" si="35" ref="G76:L76">G72-G73-G74-G75</f>
        <v>14.525000000000002</v>
      </c>
      <c r="H76" s="43">
        <f t="shared" si="35"/>
        <v>11.361499999999989</v>
      </c>
      <c r="I76" s="43">
        <f t="shared" si="35"/>
        <v>3.772384999999975</v>
      </c>
      <c r="J76" s="43">
        <f t="shared" si="35"/>
        <v>-1.2673388500000122</v>
      </c>
      <c r="K76" s="43">
        <f t="shared" si="35"/>
        <v>-11.207665461500008</v>
      </c>
      <c r="L76" s="43">
        <f t="shared" si="35"/>
        <v>-14.53358880688501</v>
      </c>
      <c r="M76" s="21"/>
      <c r="N76" s="36"/>
      <c r="O76" s="21"/>
      <c r="P76" s="21"/>
    </row>
    <row r="77" spans="2:16" ht="15">
      <c r="B77" s="35"/>
      <c r="C77" s="23" t="s">
        <v>74</v>
      </c>
      <c r="D77" s="21"/>
      <c r="E77" s="21"/>
      <c r="F77" s="21"/>
      <c r="G77" s="23">
        <f aca="true" t="shared" si="36" ref="G77:L77">G76*TaxRate</f>
        <v>5.08375</v>
      </c>
      <c r="H77" s="23">
        <f t="shared" si="36"/>
        <v>3.9765249999999956</v>
      </c>
      <c r="I77" s="23">
        <f t="shared" si="36"/>
        <v>1.3203347499999911</v>
      </c>
      <c r="J77" s="23">
        <f t="shared" si="36"/>
        <v>-0.44356859750000427</v>
      </c>
      <c r="K77" s="23">
        <f t="shared" si="36"/>
        <v>-3.9226829115250026</v>
      </c>
      <c r="L77" s="23">
        <f t="shared" si="36"/>
        <v>-5.086756082409753</v>
      </c>
      <c r="M77" s="23"/>
      <c r="N77" s="40"/>
      <c r="O77" s="23"/>
      <c r="P77" s="21"/>
    </row>
    <row r="78" spans="2:16" ht="12.75">
      <c r="B78" s="35"/>
      <c r="C78" s="21" t="s">
        <v>75</v>
      </c>
      <c r="D78" s="21"/>
      <c r="E78" s="21"/>
      <c r="F78" s="21"/>
      <c r="G78" s="21">
        <f aca="true" t="shared" si="37" ref="G78:L78">G76-G77</f>
        <v>9.441250000000002</v>
      </c>
      <c r="H78" s="21">
        <f t="shared" si="37"/>
        <v>7.384974999999994</v>
      </c>
      <c r="I78" s="21">
        <f t="shared" si="37"/>
        <v>2.452050249999984</v>
      </c>
      <c r="J78" s="21">
        <f t="shared" si="37"/>
        <v>-0.8237702525000079</v>
      </c>
      <c r="K78" s="21">
        <f t="shared" si="37"/>
        <v>-7.284982549975005</v>
      </c>
      <c r="L78" s="21">
        <f t="shared" si="37"/>
        <v>-9.446832724475257</v>
      </c>
      <c r="M78" s="21"/>
      <c r="N78" s="36"/>
      <c r="O78" s="21"/>
      <c r="P78" s="21"/>
    </row>
    <row r="79" spans="2:16" ht="15">
      <c r="B79" s="35"/>
      <c r="C79" s="23" t="s">
        <v>76</v>
      </c>
      <c r="D79" s="21"/>
      <c r="E79" s="21"/>
      <c r="F79" s="21"/>
      <c r="G79" s="23">
        <f aca="true" t="shared" si="38" ref="G79:L79">G31</f>
        <v>2</v>
      </c>
      <c r="H79" s="23">
        <f t="shared" si="38"/>
        <v>2</v>
      </c>
      <c r="I79" s="23">
        <f t="shared" si="38"/>
        <v>2</v>
      </c>
      <c r="J79" s="23">
        <f t="shared" si="38"/>
        <v>2</v>
      </c>
      <c r="K79" s="23">
        <f t="shared" si="38"/>
        <v>2</v>
      </c>
      <c r="L79" s="23">
        <f t="shared" si="38"/>
        <v>2</v>
      </c>
      <c r="M79" s="23"/>
      <c r="N79" s="40"/>
      <c r="O79" s="23"/>
      <c r="P79" s="21"/>
    </row>
    <row r="80" spans="2:16" ht="12.75">
      <c r="B80" s="35"/>
      <c r="C80" s="21" t="s">
        <v>66</v>
      </c>
      <c r="D80" s="21"/>
      <c r="E80" s="21"/>
      <c r="F80" s="21"/>
      <c r="G80" s="21">
        <f aca="true" t="shared" si="39" ref="G80:L80">G78-G79</f>
        <v>7.441250000000002</v>
      </c>
      <c r="H80" s="21">
        <f t="shared" si="39"/>
        <v>5.384974999999994</v>
      </c>
      <c r="I80" s="21">
        <f t="shared" si="39"/>
        <v>0.4520502499999841</v>
      </c>
      <c r="J80" s="21">
        <f t="shared" si="39"/>
        <v>-2.823770252500008</v>
      </c>
      <c r="K80" s="21">
        <f t="shared" si="39"/>
        <v>-9.284982549975005</v>
      </c>
      <c r="L80" s="21">
        <f t="shared" si="39"/>
        <v>-11.446832724475257</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B1:Q82"/>
  <sheetViews>
    <sheetView workbookViewId="0" topLeftCell="A41">
      <selection activeCell="G52" sqref="G52"/>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f aca="true" t="shared" si="10" ref="G23:L23">-G74</f>
        <v>0.6749999999999999</v>
      </c>
      <c r="H23" s="23">
        <f t="shared" si="10"/>
        <v>0</v>
      </c>
      <c r="I23" s="23">
        <f t="shared" si="10"/>
        <v>0</v>
      </c>
      <c r="J23" s="23">
        <f t="shared" si="10"/>
        <v>0</v>
      </c>
      <c r="K23" s="23">
        <f t="shared" si="10"/>
        <v>0</v>
      </c>
      <c r="L23" s="23">
        <f t="shared" si="10"/>
        <v>0</v>
      </c>
      <c r="M23" s="21"/>
      <c r="N23" s="36"/>
      <c r="O23" s="21"/>
      <c r="P23" s="21"/>
    </row>
    <row r="24" spans="2:16" ht="12.75">
      <c r="B24" s="35"/>
      <c r="C24" s="21" t="s">
        <v>78</v>
      </c>
      <c r="D24" s="21"/>
      <c r="E24" s="21"/>
      <c r="F24" s="21"/>
      <c r="G24" s="21">
        <f aca="true" t="shared" si="11" ref="G24:L24">SUM(G22:G23)</f>
        <v>128.07500000000002</v>
      </c>
      <c r="H24" s="21">
        <f t="shared" si="11"/>
        <v>175.1</v>
      </c>
      <c r="I24" s="21">
        <f t="shared" si="11"/>
        <v>224.25</v>
      </c>
      <c r="J24" s="21">
        <f t="shared" si="11"/>
        <v>212.25</v>
      </c>
      <c r="K24" s="21">
        <f t="shared" si="11"/>
        <v>171.65</v>
      </c>
      <c r="L24" s="21">
        <f t="shared" si="11"/>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2" ref="G27:L27">F18</f>
        <v>156.75</v>
      </c>
      <c r="H27" s="21">
        <f t="shared" si="12"/>
        <v>145.25</v>
      </c>
      <c r="I27" s="21">
        <f t="shared" si="12"/>
        <v>122.3</v>
      </c>
      <c r="J27" s="21">
        <f t="shared" si="12"/>
        <v>93.7</v>
      </c>
      <c r="K27" s="21">
        <f t="shared" si="12"/>
        <v>71.8</v>
      </c>
      <c r="L27" s="21">
        <f t="shared" si="12"/>
        <v>78.55</v>
      </c>
      <c r="M27" s="21"/>
      <c r="N27" s="36"/>
      <c r="O27" s="21"/>
      <c r="P27" s="21"/>
    </row>
    <row r="28" spans="2:16" ht="12.75">
      <c r="B28" s="35"/>
      <c r="C28" s="21" t="s">
        <v>15</v>
      </c>
      <c r="D28" s="21"/>
      <c r="E28" s="21"/>
      <c r="F28" s="21"/>
      <c r="G28" s="21">
        <f aca="true" t="shared" si="13" ref="G28:L28">G5*SWVariable+SWFixed/1000</f>
        <v>50</v>
      </c>
      <c r="H28" s="21">
        <f t="shared" si="13"/>
        <v>47.900000000000006</v>
      </c>
      <c r="I28" s="21">
        <f t="shared" si="13"/>
        <v>41.6</v>
      </c>
      <c r="J28" s="21">
        <f t="shared" si="13"/>
        <v>37.400000000000006</v>
      </c>
      <c r="K28" s="21">
        <f t="shared" si="13"/>
        <v>30.400000000000002</v>
      </c>
      <c r="L28" s="21">
        <f t="shared" si="13"/>
        <v>27.6</v>
      </c>
      <c r="M28" s="21"/>
      <c r="N28" s="36"/>
      <c r="O28" s="21"/>
      <c r="P28" s="21"/>
    </row>
    <row r="29" spans="2:16" ht="12.75">
      <c r="B29" s="35"/>
      <c r="C29" s="21" t="s">
        <v>90</v>
      </c>
      <c r="D29" s="21"/>
      <c r="E29" s="21"/>
      <c r="F29" s="21"/>
      <c r="G29" s="21">
        <f aca="true" t="shared" si="14" ref="G29:L29">G75</f>
        <v>0</v>
      </c>
      <c r="H29" s="21">
        <f t="shared" si="14"/>
        <v>0</v>
      </c>
      <c r="I29" s="21">
        <f t="shared" si="14"/>
        <v>0</v>
      </c>
      <c r="J29" s="21">
        <f t="shared" si="14"/>
        <v>0</v>
      </c>
      <c r="K29" s="21">
        <f t="shared" si="14"/>
        <v>0</v>
      </c>
      <c r="L29" s="21">
        <f t="shared" si="14"/>
        <v>0</v>
      </c>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f aca="true" t="shared" si="15" ref="G33:L33">G77</f>
        <v>5.08375</v>
      </c>
      <c r="H33" s="23">
        <f t="shared" si="15"/>
        <v>3.9765249999999956</v>
      </c>
      <c r="I33" s="23">
        <f t="shared" si="15"/>
        <v>1.3203347499999911</v>
      </c>
      <c r="J33" s="23">
        <f t="shared" si="15"/>
        <v>-0.44356859750000427</v>
      </c>
      <c r="K33" s="23">
        <f t="shared" si="15"/>
        <v>-3.9226829115250026</v>
      </c>
      <c r="L33" s="23">
        <f t="shared" si="15"/>
        <v>-5.086756082409753</v>
      </c>
      <c r="M33" s="23"/>
      <c r="N33" s="40"/>
      <c r="O33" s="23"/>
      <c r="P33" s="21"/>
    </row>
    <row r="34" spans="2:16" ht="12.75">
      <c r="B34" s="35"/>
      <c r="C34" s="21" t="s">
        <v>48</v>
      </c>
      <c r="D34" s="21"/>
      <c r="E34" s="21"/>
      <c r="F34" s="21"/>
      <c r="G34" s="21">
        <f aca="true" t="shared" si="16" ref="G34:L34">SUM(G27:G33)</f>
        <v>213.83375</v>
      </c>
      <c r="H34" s="21">
        <f t="shared" si="16"/>
        <v>199.12652500000002</v>
      </c>
      <c r="I34" s="21">
        <f t="shared" si="16"/>
        <v>189.72033475</v>
      </c>
      <c r="J34" s="21">
        <f t="shared" si="16"/>
        <v>282.6564314025</v>
      </c>
      <c r="K34" s="21">
        <f t="shared" si="16"/>
        <v>100.277317088475</v>
      </c>
      <c r="L34" s="21">
        <f t="shared" si="16"/>
        <v>125.56324391759026</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7" ref="G36:L36">G24-G34</f>
        <v>-85.75874999999999</v>
      </c>
      <c r="H36" s="21">
        <f t="shared" si="17"/>
        <v>-24.02652500000002</v>
      </c>
      <c r="I36" s="21">
        <f t="shared" si="17"/>
        <v>34.529665249999994</v>
      </c>
      <c r="J36" s="21">
        <f t="shared" si="17"/>
        <v>-70.4064314025</v>
      </c>
      <c r="K36" s="21">
        <f t="shared" si="17"/>
        <v>71.372682911525</v>
      </c>
      <c r="L36" s="21">
        <f t="shared" si="17"/>
        <v>14.036756082409738</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f>Inputs!$G$15/1000+Inputs!$G$16*'24'!H28+Inputs!$G$17*'24'!G59</f>
        <v>157.51</v>
      </c>
      <c r="H39" s="21">
        <f>Inputs!$G$15/1000+Inputs!$G$16*'24'!I28+Inputs!$G$17*'24'!H59</f>
        <v>136.20250000000001</v>
      </c>
      <c r="I39" s="21">
        <f>Inputs!$G$15/1000+Inputs!$G$16*'24'!J28+Inputs!$G$17*'24'!I59</f>
        <v>112.02250000000001</v>
      </c>
      <c r="J39" s="21">
        <f>Inputs!$G$15/1000+Inputs!$G$16*'24'!K28+Inputs!$G$17*'24'!J59</f>
        <v>91.0475</v>
      </c>
      <c r="K39" s="21">
        <f>Inputs!$G$15/1000+Inputs!$G$16*'24'!L28+Inputs!$G$17*'24'!K59</f>
        <v>94.28999999999999</v>
      </c>
      <c r="L39" s="21">
        <f>Inputs!$G$15/1000+Inputs!$G$16*'24'!M28+Inputs!$G$17*'24'!L59</f>
        <v>116.39999999999999</v>
      </c>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157.51</v>
      </c>
      <c r="I42" s="21">
        <f>H45</f>
        <v>136.20250000000001</v>
      </c>
      <c r="J42" s="21">
        <f>I45</f>
        <v>112.02250000000001</v>
      </c>
      <c r="K42" s="21">
        <f>J45</f>
        <v>91.0475</v>
      </c>
      <c r="L42" s="21">
        <f>K45</f>
        <v>94.28999999999999</v>
      </c>
      <c r="M42" s="21"/>
      <c r="N42" s="36"/>
      <c r="O42" s="21"/>
      <c r="P42" s="21"/>
    </row>
    <row r="43" spans="2:16" ht="12.75">
      <c r="B43" s="35"/>
      <c r="C43" s="21" t="s">
        <v>51</v>
      </c>
      <c r="D43" s="21"/>
      <c r="E43" s="21"/>
      <c r="F43" s="21"/>
      <c r="G43" s="21">
        <f aca="true" t="shared" si="18" ref="G43:L43">+G36</f>
        <v>-85.75874999999999</v>
      </c>
      <c r="H43" s="21">
        <f t="shared" si="18"/>
        <v>-24.02652500000002</v>
      </c>
      <c r="I43" s="21">
        <f t="shared" si="18"/>
        <v>34.529665249999994</v>
      </c>
      <c r="J43" s="21">
        <f t="shared" si="18"/>
        <v>-70.4064314025</v>
      </c>
      <c r="K43" s="21">
        <f t="shared" si="18"/>
        <v>71.372682911525</v>
      </c>
      <c r="L43" s="21">
        <f t="shared" si="18"/>
        <v>14.036756082409738</v>
      </c>
      <c r="M43" s="21"/>
      <c r="N43" s="36"/>
      <c r="O43" s="21"/>
      <c r="P43" s="21"/>
    </row>
    <row r="44" spans="2:16" ht="15">
      <c r="B44" s="35"/>
      <c r="C44" s="21" t="s">
        <v>79</v>
      </c>
      <c r="D44" s="21"/>
      <c r="E44" s="21"/>
      <c r="F44" s="21"/>
      <c r="G44" s="23">
        <f aca="true" t="shared" si="19" ref="G44:L44">G42+G43-G45</f>
        <v>-73.26874999999998</v>
      </c>
      <c r="H44" s="23">
        <f t="shared" si="19"/>
        <v>-2.7190250000000447</v>
      </c>
      <c r="I44" s="23">
        <f t="shared" si="19"/>
        <v>58.70966525</v>
      </c>
      <c r="J44" s="23">
        <f t="shared" si="19"/>
        <v>-49.431431402499996</v>
      </c>
      <c r="K44" s="23">
        <f t="shared" si="19"/>
        <v>68.130182911525</v>
      </c>
      <c r="L44" s="23">
        <f t="shared" si="19"/>
        <v>-8.073243917590261</v>
      </c>
      <c r="M44" s="23"/>
      <c r="N44" s="40"/>
      <c r="O44" s="23"/>
      <c r="P44" s="21"/>
    </row>
    <row r="45" spans="2:16" ht="12.75">
      <c r="B45" s="35"/>
      <c r="C45" s="21" t="s">
        <v>53</v>
      </c>
      <c r="D45" s="21"/>
      <c r="E45" s="21"/>
      <c r="F45" s="21"/>
      <c r="G45" s="21">
        <f aca="true" t="shared" si="20" ref="G45:L45">G39</f>
        <v>157.51</v>
      </c>
      <c r="H45" s="21">
        <f t="shared" si="20"/>
        <v>136.20250000000001</v>
      </c>
      <c r="I45" s="21">
        <f t="shared" si="20"/>
        <v>112.02250000000001</v>
      </c>
      <c r="J45" s="21">
        <f t="shared" si="20"/>
        <v>91.0475</v>
      </c>
      <c r="K45" s="21">
        <f t="shared" si="20"/>
        <v>94.28999999999999</v>
      </c>
      <c r="L45" s="21">
        <f t="shared" si="20"/>
        <v>116.39999999999999</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f aca="true" t="shared" si="21" ref="G47:L47">F47+G44</f>
        <v>16.731250000000017</v>
      </c>
      <c r="H47" s="21">
        <f t="shared" si="21"/>
        <v>14.012224999999972</v>
      </c>
      <c r="I47" s="21">
        <f t="shared" si="21"/>
        <v>72.72189024999997</v>
      </c>
      <c r="J47" s="21">
        <f t="shared" si="21"/>
        <v>23.290458847499977</v>
      </c>
      <c r="K47" s="21">
        <f t="shared" si="21"/>
        <v>91.42064175902497</v>
      </c>
      <c r="L47" s="21">
        <f t="shared" si="21"/>
        <v>83.34739784143471</v>
      </c>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f aca="true" t="shared" si="22" ref="G51:L51">G45</f>
        <v>157.51</v>
      </c>
      <c r="H51" s="21">
        <f t="shared" si="22"/>
        <v>136.20250000000001</v>
      </c>
      <c r="I51" s="21">
        <f t="shared" si="22"/>
        <v>112.02250000000001</v>
      </c>
      <c r="J51" s="21">
        <f t="shared" si="22"/>
        <v>91.0475</v>
      </c>
      <c r="K51" s="21">
        <f t="shared" si="22"/>
        <v>94.28999999999999</v>
      </c>
      <c r="L51" s="21">
        <f t="shared" si="22"/>
        <v>116.39999999999999</v>
      </c>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f aca="true" t="shared" si="23" ref="G53:L53">F53+G68-G12</f>
        <v>315.1</v>
      </c>
      <c r="H53" s="21">
        <f t="shared" si="23"/>
        <v>372.65</v>
      </c>
      <c r="I53" s="21">
        <f t="shared" si="23"/>
        <v>336.5</v>
      </c>
      <c r="J53" s="21">
        <f t="shared" si="23"/>
        <v>282.65</v>
      </c>
      <c r="K53" s="21">
        <f t="shared" si="23"/>
        <v>219.89999999999995</v>
      </c>
      <c r="L53" s="21">
        <f t="shared" si="23"/>
        <v>169.39999999999995</v>
      </c>
      <c r="M53" s="21"/>
      <c r="N53" s="36"/>
      <c r="O53" s="21"/>
      <c r="P53" s="21"/>
    </row>
    <row r="54" spans="2:16" ht="12.75">
      <c r="B54" s="35"/>
      <c r="C54" s="21" t="s">
        <v>58</v>
      </c>
      <c r="D54" s="21"/>
      <c r="E54" s="21"/>
      <c r="F54" s="21">
        <v>157</v>
      </c>
      <c r="G54" s="21">
        <f aca="true" t="shared" si="24" ref="G54:L54">F54+G18-G69</f>
        <v>132.25</v>
      </c>
      <c r="H54" s="21">
        <f t="shared" si="24"/>
        <v>94.75</v>
      </c>
      <c r="I54" s="21">
        <f t="shared" si="24"/>
        <v>59.24999999999997</v>
      </c>
      <c r="J54" s="21">
        <f t="shared" si="24"/>
        <v>22.249999999999943</v>
      </c>
      <c r="K54" s="21">
        <f t="shared" si="24"/>
        <v>25.99999999999993</v>
      </c>
      <c r="L54" s="21">
        <f t="shared" si="24"/>
        <v>96.74999999999993</v>
      </c>
      <c r="M54" s="21"/>
      <c r="N54" s="36"/>
      <c r="O54" s="21"/>
      <c r="P54" s="21"/>
    </row>
    <row r="55" spans="2:16" ht="15">
      <c r="B55" s="35"/>
      <c r="C55" s="21" t="s">
        <v>59</v>
      </c>
      <c r="D55" s="21"/>
      <c r="E55" s="21"/>
      <c r="F55" s="23">
        <v>615</v>
      </c>
      <c r="G55" s="23">
        <f aca="true" t="shared" si="25" ref="G55:L55">F55-G71+G32</f>
        <v>608.85</v>
      </c>
      <c r="H55" s="23">
        <f t="shared" si="25"/>
        <v>602.7615000000001</v>
      </c>
      <c r="I55" s="23">
        <f t="shared" si="25"/>
        <v>596.7338850000001</v>
      </c>
      <c r="J55" s="23">
        <f t="shared" si="25"/>
        <v>740.7665461500001</v>
      </c>
      <c r="K55" s="23">
        <f t="shared" si="25"/>
        <v>733.3588806885001</v>
      </c>
      <c r="L55" s="23">
        <f t="shared" si="25"/>
        <v>726.0252918816151</v>
      </c>
      <c r="M55" s="23"/>
      <c r="N55" s="40"/>
      <c r="O55" s="23"/>
      <c r="P55" s="21"/>
    </row>
    <row r="56" spans="2:16" ht="12.75">
      <c r="B56" s="35"/>
      <c r="C56" s="21" t="s">
        <v>60</v>
      </c>
      <c r="D56" s="21"/>
      <c r="E56" s="21"/>
      <c r="F56" s="21">
        <f aca="true" t="shared" si="26" ref="F56:L56">SUM(F51:F55)</f>
        <v>1227</v>
      </c>
      <c r="G56" s="21">
        <f t="shared" si="26"/>
        <v>1213.71</v>
      </c>
      <c r="H56" s="21">
        <f t="shared" si="26"/>
        <v>1206.364</v>
      </c>
      <c r="I56" s="21">
        <f t="shared" si="26"/>
        <v>1104.5063850000001</v>
      </c>
      <c r="J56" s="21">
        <f t="shared" si="26"/>
        <v>1136.71404615</v>
      </c>
      <c r="K56" s="21">
        <f t="shared" si="26"/>
        <v>1073.5488806885</v>
      </c>
      <c r="L56" s="21">
        <f t="shared" si="26"/>
        <v>1108.575291881615</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7" ref="G59:L59">F59+G18-G27</f>
        <v>148.5</v>
      </c>
      <c r="H59" s="21">
        <f t="shared" si="27"/>
        <v>125.55000000000001</v>
      </c>
      <c r="I59" s="21">
        <f t="shared" si="27"/>
        <v>96.95</v>
      </c>
      <c r="J59" s="21">
        <f t="shared" si="27"/>
        <v>75.05</v>
      </c>
      <c r="K59" s="21">
        <f t="shared" si="27"/>
        <v>81.8</v>
      </c>
      <c r="L59" s="21">
        <f t="shared" si="27"/>
        <v>135.2</v>
      </c>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f aca="true" t="shared" si="28" ref="G61:L61">F61+G62*LTDInt/12-G30</f>
        <v>7.5</v>
      </c>
      <c r="H61" s="21">
        <f t="shared" si="28"/>
        <v>15</v>
      </c>
      <c r="I61" s="21">
        <f t="shared" si="28"/>
        <v>0</v>
      </c>
      <c r="J61" s="21">
        <f t="shared" si="28"/>
        <v>7.5</v>
      </c>
      <c r="K61" s="21">
        <f t="shared" si="28"/>
        <v>15</v>
      </c>
      <c r="L61" s="21">
        <f t="shared" si="28"/>
        <v>0</v>
      </c>
      <c r="M61" s="21"/>
      <c r="N61" s="36"/>
      <c r="O61" s="21"/>
      <c r="P61" s="21"/>
    </row>
    <row r="62" spans="2:16" ht="12.75">
      <c r="B62" s="35"/>
      <c r="C62" s="21" t="s">
        <v>64</v>
      </c>
      <c r="D62" s="21"/>
      <c r="E62" s="21"/>
      <c r="F62" s="21">
        <v>600</v>
      </c>
      <c r="G62" s="21">
        <f aca="true" t="shared" si="29" ref="G62:L63">F62</f>
        <v>600</v>
      </c>
      <c r="H62" s="21">
        <f t="shared" si="29"/>
        <v>600</v>
      </c>
      <c r="I62" s="21">
        <f t="shared" si="29"/>
        <v>600</v>
      </c>
      <c r="J62" s="21">
        <f t="shared" si="29"/>
        <v>600</v>
      </c>
      <c r="K62" s="21">
        <f t="shared" si="29"/>
        <v>600</v>
      </c>
      <c r="L62" s="21">
        <f t="shared" si="29"/>
        <v>600</v>
      </c>
      <c r="M62" s="21"/>
      <c r="N62" s="36"/>
      <c r="O62" s="21"/>
      <c r="P62" s="21"/>
    </row>
    <row r="63" spans="2:16" ht="12.75">
      <c r="B63" s="35"/>
      <c r="C63" s="21" t="s">
        <v>65</v>
      </c>
      <c r="D63" s="21"/>
      <c r="E63" s="21"/>
      <c r="F63" s="21">
        <v>120</v>
      </c>
      <c r="G63" s="21">
        <f t="shared" si="29"/>
        <v>120</v>
      </c>
      <c r="H63" s="21">
        <f t="shared" si="29"/>
        <v>120</v>
      </c>
      <c r="I63" s="21">
        <f t="shared" si="29"/>
        <v>120</v>
      </c>
      <c r="J63" s="21">
        <f t="shared" si="29"/>
        <v>120</v>
      </c>
      <c r="K63" s="21">
        <f t="shared" si="29"/>
        <v>120</v>
      </c>
      <c r="L63" s="21">
        <f t="shared" si="29"/>
        <v>120</v>
      </c>
      <c r="M63" s="21"/>
      <c r="N63" s="36"/>
      <c r="O63" s="21"/>
      <c r="P63" s="21"/>
    </row>
    <row r="64" spans="2:16" ht="15">
      <c r="B64" s="35"/>
      <c r="C64" s="21" t="s">
        <v>66</v>
      </c>
      <c r="D64" s="21"/>
      <c r="E64" s="21"/>
      <c r="F64" s="23">
        <v>347</v>
      </c>
      <c r="G64" s="23">
        <f aca="true" t="shared" si="30" ref="G64:L64">F64+G80</f>
        <v>354.44125</v>
      </c>
      <c r="H64" s="23">
        <f t="shared" si="30"/>
        <v>359.826225</v>
      </c>
      <c r="I64" s="23">
        <f t="shared" si="30"/>
        <v>360.27827525</v>
      </c>
      <c r="J64" s="23">
        <f t="shared" si="30"/>
        <v>357.45450499749995</v>
      </c>
      <c r="K64" s="23">
        <f t="shared" si="30"/>
        <v>348.16952244752497</v>
      </c>
      <c r="L64" s="23">
        <f t="shared" si="30"/>
        <v>336.7226897230497</v>
      </c>
      <c r="M64" s="23"/>
      <c r="N64" s="40"/>
      <c r="O64" s="23"/>
      <c r="P64" s="21"/>
    </row>
    <row r="65" spans="2:16" ht="12.75">
      <c r="B65" s="35"/>
      <c r="C65" s="21" t="s">
        <v>67</v>
      </c>
      <c r="D65" s="21"/>
      <c r="E65" s="21"/>
      <c r="F65" s="21">
        <f aca="true" t="shared" si="31" ref="F65:L65">SUM(F59:F64)</f>
        <v>1227</v>
      </c>
      <c r="G65" s="21">
        <f t="shared" si="31"/>
        <v>1230.44125</v>
      </c>
      <c r="H65" s="21">
        <f t="shared" si="31"/>
        <v>1220.376225</v>
      </c>
      <c r="I65" s="21">
        <f t="shared" si="31"/>
        <v>1177.22827525</v>
      </c>
      <c r="J65" s="21">
        <f t="shared" si="31"/>
        <v>1160.0045049975</v>
      </c>
      <c r="K65" s="21">
        <f t="shared" si="31"/>
        <v>1164.969522447525</v>
      </c>
      <c r="L65" s="21">
        <f t="shared" si="31"/>
        <v>1191.9226897230496</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(Collections0+Collections1+Collections2+Collections3)*'12'!G5</f>
        <v>247.5</v>
      </c>
      <c r="H68" s="21">
        <f>(Collections0+Collections1+Collections2+Collections3)*'12'!H5</f>
        <v>232.65</v>
      </c>
      <c r="I68" s="21">
        <f>(Collections0+Collections1+Collections2+Collections3)*'12'!I5</f>
        <v>188.1</v>
      </c>
      <c r="J68" s="21">
        <f>(Collections0+Collections1+Collections2+Collections3)*'12'!J5</f>
        <v>158.4</v>
      </c>
      <c r="K68" s="21">
        <f>(Collections0+Collections1+Collections2+Collections3)*'12'!K5</f>
        <v>108.9</v>
      </c>
      <c r="L68" s="21">
        <f>(Collections0+Collections1+Collections2+Collections3)*'12'!L5</f>
        <v>89.1</v>
      </c>
      <c r="M68" s="21"/>
      <c r="N68" s="36"/>
      <c r="O68" s="21"/>
      <c r="P68" s="21"/>
    </row>
    <row r="69" spans="2:16" ht="12.75">
      <c r="B69" s="35"/>
      <c r="C69" s="21" t="s">
        <v>70</v>
      </c>
      <c r="D69" s="21"/>
      <c r="E69" s="21"/>
      <c r="F69" s="21"/>
      <c r="G69" s="21">
        <f>Materials*'13'!G5</f>
        <v>170</v>
      </c>
      <c r="H69" s="21">
        <f>Materials*'13'!H5</f>
        <v>159.8</v>
      </c>
      <c r="I69" s="21">
        <f>Materials*'13'!I5</f>
        <v>129.20000000000002</v>
      </c>
      <c r="J69" s="21">
        <f>Materials*'13'!J5</f>
        <v>108.80000000000001</v>
      </c>
      <c r="K69" s="21">
        <f>Materials*'13'!K5</f>
        <v>74.80000000000001</v>
      </c>
      <c r="L69" s="21">
        <f>Materials*'13'!L5</f>
        <v>61.2</v>
      </c>
      <c r="M69" s="21"/>
      <c r="N69" s="36"/>
      <c r="O69" s="21"/>
      <c r="P69" s="21"/>
    </row>
    <row r="70" spans="2:16" ht="12.75">
      <c r="B70" s="35"/>
      <c r="C70" s="21" t="s">
        <v>71</v>
      </c>
      <c r="D70" s="21"/>
      <c r="E70" s="21"/>
      <c r="F70" s="21"/>
      <c r="G70" s="21">
        <f aca="true" t="shared" si="32" ref="G70:L70">G28</f>
        <v>50</v>
      </c>
      <c r="H70" s="21">
        <f t="shared" si="32"/>
        <v>47.900000000000006</v>
      </c>
      <c r="I70" s="21">
        <f t="shared" si="32"/>
        <v>41.6</v>
      </c>
      <c r="J70" s="21">
        <f t="shared" si="32"/>
        <v>37.400000000000006</v>
      </c>
      <c r="K70" s="21">
        <f t="shared" si="32"/>
        <v>30.400000000000002</v>
      </c>
      <c r="L70" s="21">
        <f t="shared" si="32"/>
        <v>27.6</v>
      </c>
      <c r="M70" s="21"/>
      <c r="N70" s="36"/>
      <c r="O70" s="21"/>
      <c r="P70" s="21"/>
    </row>
    <row r="71" spans="2:16" ht="15">
      <c r="B71" s="35"/>
      <c r="C71" s="23" t="s">
        <v>72</v>
      </c>
      <c r="D71" s="21"/>
      <c r="E71" s="21"/>
      <c r="F71" s="21"/>
      <c r="G71" s="23">
        <f aca="true" t="shared" si="33" ref="G71:L71">F55*Depr</f>
        <v>6.15</v>
      </c>
      <c r="H71" s="23">
        <f t="shared" si="33"/>
        <v>6.088500000000001</v>
      </c>
      <c r="I71" s="23">
        <f t="shared" si="33"/>
        <v>6.027615000000001</v>
      </c>
      <c r="J71" s="23">
        <f t="shared" si="33"/>
        <v>5.967338850000001</v>
      </c>
      <c r="K71" s="23">
        <f t="shared" si="33"/>
        <v>7.407665461500001</v>
      </c>
      <c r="L71" s="23">
        <f t="shared" si="33"/>
        <v>7.333588806885001</v>
      </c>
      <c r="M71" s="23"/>
      <c r="N71" s="40"/>
      <c r="O71" s="23"/>
      <c r="P71" s="21"/>
    </row>
    <row r="72" spans="2:16" ht="12.75">
      <c r="B72" s="35"/>
      <c r="C72" s="21" t="s">
        <v>69</v>
      </c>
      <c r="D72" s="21"/>
      <c r="E72" s="21"/>
      <c r="F72" s="21"/>
      <c r="G72" s="21">
        <f aca="true" t="shared" si="34" ref="G72:L72">G68-G69-G70-G71</f>
        <v>21.35</v>
      </c>
      <c r="H72" s="21">
        <f t="shared" si="34"/>
        <v>18.86149999999999</v>
      </c>
      <c r="I72" s="21">
        <f t="shared" si="34"/>
        <v>11.272384999999975</v>
      </c>
      <c r="J72" s="21">
        <f t="shared" si="34"/>
        <v>6.232661149999988</v>
      </c>
      <c r="K72" s="21">
        <f t="shared" si="34"/>
        <v>-3.7076654615000084</v>
      </c>
      <c r="L72" s="21">
        <f t="shared" si="34"/>
        <v>-7.033588806885011</v>
      </c>
      <c r="M72" s="21"/>
      <c r="N72" s="36"/>
      <c r="O72" s="21"/>
      <c r="P72" s="21"/>
    </row>
    <row r="73" spans="2:16" ht="12.75">
      <c r="B73" s="35"/>
      <c r="C73" s="21" t="s">
        <v>93</v>
      </c>
      <c r="D73" s="21"/>
      <c r="E73" s="21"/>
      <c r="F73" s="21"/>
      <c r="G73" s="21">
        <f aca="true" t="shared" si="35" ref="G73:L73">F62*LTDInt/12</f>
        <v>7.5</v>
      </c>
      <c r="H73" s="21">
        <f t="shared" si="35"/>
        <v>7.5</v>
      </c>
      <c r="I73" s="21">
        <f t="shared" si="35"/>
        <v>7.5</v>
      </c>
      <c r="J73" s="21">
        <f t="shared" si="35"/>
        <v>7.5</v>
      </c>
      <c r="K73" s="21">
        <f t="shared" si="35"/>
        <v>7.5</v>
      </c>
      <c r="L73" s="21">
        <f t="shared" si="35"/>
        <v>7.5</v>
      </c>
      <c r="M73" s="21"/>
      <c r="N73" s="36"/>
      <c r="O73" s="21"/>
      <c r="P73" s="21"/>
    </row>
    <row r="74" spans="2:16" ht="12.75">
      <c r="B74" s="35"/>
      <c r="C74" s="43" t="s">
        <v>91</v>
      </c>
      <c r="D74" s="21"/>
      <c r="E74" s="21"/>
      <c r="F74" s="21"/>
      <c r="G74" s="21">
        <f aca="true" t="shared" si="36" ref="G74:L74">-STInt*F52</f>
        <v>-0.6749999999999999</v>
      </c>
      <c r="H74" s="21">
        <f t="shared" si="36"/>
        <v>0</v>
      </c>
      <c r="I74" s="21">
        <f t="shared" si="36"/>
        <v>0</v>
      </c>
      <c r="J74" s="21">
        <f t="shared" si="36"/>
        <v>0</v>
      </c>
      <c r="K74" s="21">
        <f t="shared" si="36"/>
        <v>0</v>
      </c>
      <c r="L74" s="21">
        <f t="shared" si="36"/>
        <v>0</v>
      </c>
      <c r="M74" s="21"/>
      <c r="N74" s="36"/>
      <c r="O74" s="21"/>
      <c r="P74" s="21"/>
    </row>
    <row r="75" spans="2:16" ht="15">
      <c r="B75" s="35"/>
      <c r="C75" s="23" t="s">
        <v>94</v>
      </c>
      <c r="D75" s="21"/>
      <c r="E75" s="21"/>
      <c r="F75" s="21"/>
      <c r="G75" s="23">
        <f>STInt*'16'!F60</f>
        <v>0</v>
      </c>
      <c r="H75" s="23">
        <f>STInt*'16'!G60</f>
        <v>0</v>
      </c>
      <c r="I75" s="23">
        <f>STInt*'16'!H60</f>
        <v>0</v>
      </c>
      <c r="J75" s="23">
        <f>STInt*'16'!I60</f>
        <v>0</v>
      </c>
      <c r="K75" s="23">
        <f>STInt*'16'!J60</f>
        <v>0</v>
      </c>
      <c r="L75" s="23">
        <f>STInt*'16'!K60</f>
        <v>0</v>
      </c>
      <c r="M75" s="23"/>
      <c r="N75" s="40"/>
      <c r="O75" s="23"/>
      <c r="P75" s="21"/>
    </row>
    <row r="76" spans="2:16" ht="12.75">
      <c r="B76" s="35"/>
      <c r="C76" s="21" t="s">
        <v>73</v>
      </c>
      <c r="D76" s="21"/>
      <c r="E76" s="21"/>
      <c r="F76" s="21"/>
      <c r="G76" s="21">
        <f aca="true" t="shared" si="37" ref="G76:L76">G72-G73-G74-G75</f>
        <v>14.525000000000002</v>
      </c>
      <c r="H76" s="21">
        <f t="shared" si="37"/>
        <v>11.361499999999989</v>
      </c>
      <c r="I76" s="21">
        <f t="shared" si="37"/>
        <v>3.772384999999975</v>
      </c>
      <c r="J76" s="21">
        <f t="shared" si="37"/>
        <v>-1.2673388500000122</v>
      </c>
      <c r="K76" s="21">
        <f t="shared" si="37"/>
        <v>-11.207665461500008</v>
      </c>
      <c r="L76" s="21">
        <f t="shared" si="37"/>
        <v>-14.53358880688501</v>
      </c>
      <c r="M76" s="21"/>
      <c r="N76" s="36"/>
      <c r="O76" s="21"/>
      <c r="P76" s="21"/>
    </row>
    <row r="77" spans="2:16" ht="15">
      <c r="B77" s="35"/>
      <c r="C77" s="23" t="s">
        <v>74</v>
      </c>
      <c r="D77" s="21"/>
      <c r="E77" s="21"/>
      <c r="F77" s="21"/>
      <c r="G77" s="23">
        <f aca="true" t="shared" si="38" ref="G77:L77">G76*TaxRate</f>
        <v>5.08375</v>
      </c>
      <c r="H77" s="23">
        <f t="shared" si="38"/>
        <v>3.9765249999999956</v>
      </c>
      <c r="I77" s="23">
        <f t="shared" si="38"/>
        <v>1.3203347499999911</v>
      </c>
      <c r="J77" s="23">
        <f t="shared" si="38"/>
        <v>-0.44356859750000427</v>
      </c>
      <c r="K77" s="23">
        <f t="shared" si="38"/>
        <v>-3.9226829115250026</v>
      </c>
      <c r="L77" s="23">
        <f t="shared" si="38"/>
        <v>-5.086756082409753</v>
      </c>
      <c r="M77" s="23"/>
      <c r="N77" s="40"/>
      <c r="O77" s="23"/>
      <c r="P77" s="21"/>
    </row>
    <row r="78" spans="2:16" ht="12.75">
      <c r="B78" s="35"/>
      <c r="C78" s="21" t="s">
        <v>75</v>
      </c>
      <c r="D78" s="21"/>
      <c r="E78" s="21"/>
      <c r="F78" s="21"/>
      <c r="G78" s="21">
        <f aca="true" t="shared" si="39" ref="G78:L78">G76-G77</f>
        <v>9.441250000000002</v>
      </c>
      <c r="H78" s="21">
        <f t="shared" si="39"/>
        <v>7.384974999999994</v>
      </c>
      <c r="I78" s="21">
        <f t="shared" si="39"/>
        <v>2.452050249999984</v>
      </c>
      <c r="J78" s="21">
        <f t="shared" si="39"/>
        <v>-0.8237702525000079</v>
      </c>
      <c r="K78" s="21">
        <f t="shared" si="39"/>
        <v>-7.284982549975005</v>
      </c>
      <c r="L78" s="21">
        <f t="shared" si="39"/>
        <v>-9.446832724475257</v>
      </c>
      <c r="M78" s="21"/>
      <c r="N78" s="36"/>
      <c r="O78" s="21"/>
      <c r="P78" s="21"/>
    </row>
    <row r="79" spans="2:16" ht="15">
      <c r="B79" s="35"/>
      <c r="C79" s="23" t="s">
        <v>76</v>
      </c>
      <c r="D79" s="21"/>
      <c r="E79" s="21"/>
      <c r="F79" s="21"/>
      <c r="G79" s="23">
        <f aca="true" t="shared" si="40" ref="G79:L79">G31</f>
        <v>2</v>
      </c>
      <c r="H79" s="23">
        <f t="shared" si="40"/>
        <v>2</v>
      </c>
      <c r="I79" s="23">
        <f t="shared" si="40"/>
        <v>2</v>
      </c>
      <c r="J79" s="23">
        <f t="shared" si="40"/>
        <v>2</v>
      </c>
      <c r="K79" s="23">
        <f t="shared" si="40"/>
        <v>2</v>
      </c>
      <c r="L79" s="23">
        <f t="shared" si="40"/>
        <v>2</v>
      </c>
      <c r="M79" s="23"/>
      <c r="N79" s="40"/>
      <c r="O79" s="23"/>
      <c r="P79" s="21"/>
    </row>
    <row r="80" spans="2:16" ht="12.75">
      <c r="B80" s="35"/>
      <c r="C80" s="21" t="s">
        <v>66</v>
      </c>
      <c r="D80" s="21"/>
      <c r="E80" s="21"/>
      <c r="F80" s="21"/>
      <c r="G80" s="21">
        <f aca="true" t="shared" si="41" ref="G80:L80">G78-G79</f>
        <v>7.441250000000002</v>
      </c>
      <c r="H80" s="21">
        <f t="shared" si="41"/>
        <v>5.384974999999994</v>
      </c>
      <c r="I80" s="21">
        <f t="shared" si="41"/>
        <v>0.4520502499999841</v>
      </c>
      <c r="J80" s="21">
        <f t="shared" si="41"/>
        <v>-2.823770252500008</v>
      </c>
      <c r="K80" s="21">
        <f t="shared" si="41"/>
        <v>-9.284982549975005</v>
      </c>
      <c r="L80" s="21">
        <f t="shared" si="41"/>
        <v>-11.446832724475257</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B1:Q82"/>
  <sheetViews>
    <sheetView workbookViewId="0" topLeftCell="A48">
      <selection activeCell="G48" sqref="G48"/>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f aca="true" t="shared" si="10" ref="G23:L23">-G74</f>
        <v>0.6749999999999999</v>
      </c>
      <c r="H23" s="23">
        <f t="shared" si="10"/>
        <v>0.12548437500000012</v>
      </c>
      <c r="I23" s="23">
        <f t="shared" si="10"/>
        <v>0.1057034238281249</v>
      </c>
      <c r="J23" s="23">
        <f t="shared" si="10"/>
        <v>0.546541217394287</v>
      </c>
      <c r="K23" s="23">
        <f t="shared" si="10"/>
        <v>0.1784698703103341</v>
      </c>
      <c r="L23" s="23">
        <f t="shared" si="10"/>
        <v>0.6903162827645345</v>
      </c>
      <c r="M23" s="21"/>
      <c r="N23" s="36"/>
      <c r="O23" s="21"/>
      <c r="P23" s="21"/>
    </row>
    <row r="24" spans="2:16" ht="12.75">
      <c r="B24" s="35"/>
      <c r="C24" s="21" t="s">
        <v>78</v>
      </c>
      <c r="D24" s="21"/>
      <c r="E24" s="21"/>
      <c r="F24" s="21"/>
      <c r="G24" s="21">
        <f aca="true" t="shared" si="11" ref="G24:L24">SUM(G22:G23)</f>
        <v>128.07500000000002</v>
      </c>
      <c r="H24" s="21">
        <f t="shared" si="11"/>
        <v>175.225484375</v>
      </c>
      <c r="I24" s="21">
        <f t="shared" si="11"/>
        <v>224.35570342382812</v>
      </c>
      <c r="J24" s="21">
        <f t="shared" si="11"/>
        <v>212.7965412173943</v>
      </c>
      <c r="K24" s="21">
        <f t="shared" si="11"/>
        <v>171.82846987031033</v>
      </c>
      <c r="L24" s="21">
        <f t="shared" si="11"/>
        <v>140.29031628276454</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2" ref="G27:L27">F18</f>
        <v>156.75</v>
      </c>
      <c r="H27" s="21">
        <f t="shared" si="12"/>
        <v>145.25</v>
      </c>
      <c r="I27" s="21">
        <f t="shared" si="12"/>
        <v>122.3</v>
      </c>
      <c r="J27" s="21">
        <f t="shared" si="12"/>
        <v>93.7</v>
      </c>
      <c r="K27" s="21">
        <f t="shared" si="12"/>
        <v>71.8</v>
      </c>
      <c r="L27" s="21">
        <f t="shared" si="12"/>
        <v>78.55</v>
      </c>
      <c r="M27" s="21"/>
      <c r="N27" s="36"/>
      <c r="O27" s="21"/>
      <c r="P27" s="21"/>
    </row>
    <row r="28" spans="2:16" ht="12.75">
      <c r="B28" s="35"/>
      <c r="C28" s="21" t="s">
        <v>15</v>
      </c>
      <c r="D28" s="21"/>
      <c r="E28" s="21"/>
      <c r="F28" s="21"/>
      <c r="G28" s="21">
        <f aca="true" t="shared" si="13" ref="G28:L28">G5*SWVariable+SWFixed/1000</f>
        <v>50</v>
      </c>
      <c r="H28" s="21">
        <f t="shared" si="13"/>
        <v>47.900000000000006</v>
      </c>
      <c r="I28" s="21">
        <f t="shared" si="13"/>
        <v>41.6</v>
      </c>
      <c r="J28" s="21">
        <f t="shared" si="13"/>
        <v>37.400000000000006</v>
      </c>
      <c r="K28" s="21">
        <f t="shared" si="13"/>
        <v>30.400000000000002</v>
      </c>
      <c r="L28" s="21">
        <f t="shared" si="13"/>
        <v>27.6</v>
      </c>
      <c r="M28" s="21"/>
      <c r="N28" s="36"/>
      <c r="O28" s="21"/>
      <c r="P28" s="21"/>
    </row>
    <row r="29" spans="2:16" ht="12.75">
      <c r="B29" s="35"/>
      <c r="C29" s="21" t="s">
        <v>90</v>
      </c>
      <c r="D29" s="21"/>
      <c r="E29" s="21"/>
      <c r="F29" s="21"/>
      <c r="G29" s="21">
        <f aca="true" t="shared" si="14" ref="G29:L29">G75</f>
        <v>0</v>
      </c>
      <c r="H29" s="21">
        <f t="shared" si="14"/>
        <v>0</v>
      </c>
      <c r="I29" s="21">
        <f t="shared" si="14"/>
        <v>0</v>
      </c>
      <c r="J29" s="21">
        <f t="shared" si="14"/>
        <v>0</v>
      </c>
      <c r="K29" s="21">
        <f t="shared" si="14"/>
        <v>0</v>
      </c>
      <c r="L29" s="21">
        <f t="shared" si="14"/>
        <v>0</v>
      </c>
      <c r="M29" s="21"/>
      <c r="N29" s="36"/>
      <c r="O29" s="21"/>
      <c r="P29" s="21"/>
    </row>
    <row r="30" spans="2:16" ht="12.75">
      <c r="B30" s="35"/>
      <c r="C30" s="21" t="s">
        <v>44</v>
      </c>
      <c r="D30" s="21"/>
      <c r="E30" s="21"/>
      <c r="F30" s="21"/>
      <c r="G30" s="21">
        <v>0</v>
      </c>
      <c r="H30" s="21">
        <v>0</v>
      </c>
      <c r="I30" s="21">
        <f>LTDInt/4*' 8 '!G62</f>
        <v>22.5</v>
      </c>
      <c r="J30" s="21">
        <v>0</v>
      </c>
      <c r="K30" s="21">
        <v>0</v>
      </c>
      <c r="L30" s="21">
        <f>LTDInt/4*' 8 '!J62</f>
        <v>22.5</v>
      </c>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f aca="true" t="shared" si="15" ref="G33:L33">G77</f>
        <v>5.08375</v>
      </c>
      <c r="H33" s="23">
        <f t="shared" si="15"/>
        <v>4.020444531249996</v>
      </c>
      <c r="I33" s="23">
        <f t="shared" si="15"/>
        <v>1.3573309483398348</v>
      </c>
      <c r="J33" s="23">
        <f t="shared" si="15"/>
        <v>-0.25227917141200384</v>
      </c>
      <c r="K33" s="23">
        <f t="shared" si="15"/>
        <v>-3.8602184569163858</v>
      </c>
      <c r="L33" s="23">
        <f t="shared" si="15"/>
        <v>-4.8451453834421665</v>
      </c>
      <c r="M33" s="23"/>
      <c r="N33" s="40"/>
      <c r="O33" s="23"/>
      <c r="P33" s="21"/>
    </row>
    <row r="34" spans="2:16" ht="12.75">
      <c r="B34" s="35"/>
      <c r="C34" s="21" t="s">
        <v>48</v>
      </c>
      <c r="D34" s="21"/>
      <c r="E34" s="21"/>
      <c r="F34" s="21"/>
      <c r="G34" s="21">
        <f aca="true" t="shared" si="16" ref="G34:L34">SUM(G27:G33)</f>
        <v>213.83375</v>
      </c>
      <c r="H34" s="21">
        <f t="shared" si="16"/>
        <v>199.17044453125</v>
      </c>
      <c r="I34" s="21">
        <f t="shared" si="16"/>
        <v>189.75733094833984</v>
      </c>
      <c r="J34" s="21">
        <f t="shared" si="16"/>
        <v>282.847720828588</v>
      </c>
      <c r="K34" s="21">
        <f t="shared" si="16"/>
        <v>100.33978154308362</v>
      </c>
      <c r="L34" s="21">
        <f t="shared" si="16"/>
        <v>125.80485461655783</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7" ref="G36:L36">G24-G34</f>
        <v>-85.75874999999999</v>
      </c>
      <c r="H36" s="21">
        <f t="shared" si="17"/>
        <v>-23.944960156250005</v>
      </c>
      <c r="I36" s="21">
        <f t="shared" si="17"/>
        <v>34.598372475488276</v>
      </c>
      <c r="J36" s="21">
        <f t="shared" si="17"/>
        <v>-70.05117961119373</v>
      </c>
      <c r="K36" s="21">
        <f t="shared" si="17"/>
        <v>71.48868832722671</v>
      </c>
      <c r="L36" s="21">
        <f t="shared" si="17"/>
        <v>14.485461666206703</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f>Inputs!$G$15/1000+Inputs!$G$16*'24'!H28+Inputs!$G$17*'24'!G59</f>
        <v>157.51</v>
      </c>
      <c r="H39" s="21">
        <f>Inputs!$G$15/1000+Inputs!$G$16*'24'!I28+Inputs!$G$17*'24'!H59</f>
        <v>136.20250000000001</v>
      </c>
      <c r="I39" s="21">
        <f>Inputs!$G$15/1000+Inputs!$G$16*'24'!J28+Inputs!$G$17*'24'!I59</f>
        <v>112.02250000000001</v>
      </c>
      <c r="J39" s="21">
        <f>Inputs!$G$15/1000+Inputs!$G$16*'24'!K28+Inputs!$G$17*'24'!J59</f>
        <v>91.0475</v>
      </c>
      <c r="K39" s="21">
        <f>Inputs!$G$15/1000+Inputs!$G$16*'24'!L28+Inputs!$G$17*'24'!K59</f>
        <v>94.28999999999999</v>
      </c>
      <c r="L39" s="21">
        <f>Inputs!$G$15/1000+Inputs!$G$16*'24'!M28+Inputs!$G$17*'24'!L59</f>
        <v>116.39999999999999</v>
      </c>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157.51</v>
      </c>
      <c r="I42" s="21">
        <f>H45</f>
        <v>136.20250000000001</v>
      </c>
      <c r="J42" s="21">
        <f>I45</f>
        <v>112.02250000000001</v>
      </c>
      <c r="K42" s="21">
        <f>J45</f>
        <v>91.0475</v>
      </c>
      <c r="L42" s="21">
        <f>K45</f>
        <v>94.28999999999999</v>
      </c>
      <c r="M42" s="21"/>
      <c r="N42" s="36"/>
      <c r="O42" s="21"/>
      <c r="P42" s="21"/>
    </row>
    <row r="43" spans="2:16" ht="12.75">
      <c r="B43" s="35"/>
      <c r="C43" s="21" t="s">
        <v>51</v>
      </c>
      <c r="D43" s="21"/>
      <c r="E43" s="21"/>
      <c r="F43" s="21"/>
      <c r="G43" s="21">
        <f aca="true" t="shared" si="18" ref="G43:L43">+G36</f>
        <v>-85.75874999999999</v>
      </c>
      <c r="H43" s="21">
        <f t="shared" si="18"/>
        <v>-23.944960156250005</v>
      </c>
      <c r="I43" s="21">
        <f t="shared" si="18"/>
        <v>34.598372475488276</v>
      </c>
      <c r="J43" s="21">
        <f t="shared" si="18"/>
        <v>-70.05117961119373</v>
      </c>
      <c r="K43" s="21">
        <f t="shared" si="18"/>
        <v>71.48868832722671</v>
      </c>
      <c r="L43" s="21">
        <f t="shared" si="18"/>
        <v>14.485461666206703</v>
      </c>
      <c r="M43" s="21"/>
      <c r="N43" s="36"/>
      <c r="O43" s="21"/>
      <c r="P43" s="21"/>
    </row>
    <row r="44" spans="2:16" ht="15">
      <c r="B44" s="35"/>
      <c r="C44" s="21" t="s">
        <v>79</v>
      </c>
      <c r="D44" s="21"/>
      <c r="E44" s="21"/>
      <c r="F44" s="21"/>
      <c r="G44" s="23">
        <f aca="true" t="shared" si="19" ref="G44:L44">G42+G43-G45</f>
        <v>-73.26874999999998</v>
      </c>
      <c r="H44" s="23">
        <f t="shared" si="19"/>
        <v>-2.637460156250029</v>
      </c>
      <c r="I44" s="23">
        <f t="shared" si="19"/>
        <v>58.77837247548828</v>
      </c>
      <c r="J44" s="23">
        <f t="shared" si="19"/>
        <v>-49.07617961119372</v>
      </c>
      <c r="K44" s="23">
        <f t="shared" si="19"/>
        <v>68.24618832722672</v>
      </c>
      <c r="L44" s="23">
        <f t="shared" si="19"/>
        <v>-7.624538333793296</v>
      </c>
      <c r="M44" s="23"/>
      <c r="N44" s="40"/>
      <c r="O44" s="23"/>
      <c r="P44" s="21"/>
    </row>
    <row r="45" spans="2:16" ht="12.75">
      <c r="B45" s="35"/>
      <c r="C45" s="21" t="s">
        <v>53</v>
      </c>
      <c r="D45" s="21"/>
      <c r="E45" s="21"/>
      <c r="F45" s="21"/>
      <c r="G45" s="21">
        <f aca="true" t="shared" si="20" ref="G45:L45">G39</f>
        <v>157.51</v>
      </c>
      <c r="H45" s="21">
        <f t="shared" si="20"/>
        <v>136.20250000000001</v>
      </c>
      <c r="I45" s="21">
        <f t="shared" si="20"/>
        <v>112.02250000000001</v>
      </c>
      <c r="J45" s="21">
        <f t="shared" si="20"/>
        <v>91.0475</v>
      </c>
      <c r="K45" s="21">
        <f t="shared" si="20"/>
        <v>94.28999999999999</v>
      </c>
      <c r="L45" s="21">
        <f t="shared" si="20"/>
        <v>116.39999999999999</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f aca="true" t="shared" si="21" ref="G47:L47">F47+G44</f>
        <v>16.731250000000017</v>
      </c>
      <c r="H47" s="21">
        <f t="shared" si="21"/>
        <v>14.093789843749988</v>
      </c>
      <c r="I47" s="21">
        <f t="shared" si="21"/>
        <v>72.87216231923827</v>
      </c>
      <c r="J47" s="21">
        <f t="shared" si="21"/>
        <v>23.795982708044548</v>
      </c>
      <c r="K47" s="21">
        <f t="shared" si="21"/>
        <v>92.04217103527127</v>
      </c>
      <c r="L47" s="21">
        <f t="shared" si="21"/>
        <v>84.41763270147797</v>
      </c>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f aca="true" t="shared" si="22" ref="G51:L51">G45</f>
        <v>157.51</v>
      </c>
      <c r="H51" s="21">
        <f t="shared" si="22"/>
        <v>136.20250000000001</v>
      </c>
      <c r="I51" s="21">
        <f t="shared" si="22"/>
        <v>112.02250000000001</v>
      </c>
      <c r="J51" s="21">
        <f t="shared" si="22"/>
        <v>91.0475</v>
      </c>
      <c r="K51" s="21">
        <f t="shared" si="22"/>
        <v>94.28999999999999</v>
      </c>
      <c r="L51" s="21">
        <f t="shared" si="22"/>
        <v>116.39999999999999</v>
      </c>
      <c r="M51" s="21"/>
      <c r="N51" s="36"/>
      <c r="O51" s="21"/>
      <c r="P51" s="21"/>
    </row>
    <row r="52" spans="2:16" ht="12.75">
      <c r="B52" s="35"/>
      <c r="C52" s="21" t="s">
        <v>86</v>
      </c>
      <c r="D52" s="21"/>
      <c r="E52" s="21"/>
      <c r="F52" s="21">
        <v>90</v>
      </c>
      <c r="G52" s="21">
        <f aca="true" t="shared" si="23" ref="G52:L52">IF(G47&gt;0,G47,0)</f>
        <v>16.731250000000017</v>
      </c>
      <c r="H52" s="21">
        <f t="shared" si="23"/>
        <v>14.093789843749988</v>
      </c>
      <c r="I52" s="21">
        <f t="shared" si="23"/>
        <v>72.87216231923827</v>
      </c>
      <c r="J52" s="21">
        <f t="shared" si="23"/>
        <v>23.795982708044548</v>
      </c>
      <c r="K52" s="21">
        <f t="shared" si="23"/>
        <v>92.04217103527127</v>
      </c>
      <c r="L52" s="21">
        <f t="shared" si="23"/>
        <v>84.41763270147797</v>
      </c>
      <c r="M52" s="21"/>
      <c r="N52" s="36"/>
      <c r="O52" s="21"/>
      <c r="P52" s="21"/>
    </row>
    <row r="53" spans="2:16" ht="12.75">
      <c r="B53" s="35"/>
      <c r="C53" s="21" t="s">
        <v>57</v>
      </c>
      <c r="D53" s="21"/>
      <c r="E53" s="21"/>
      <c r="F53" s="21">
        <v>195</v>
      </c>
      <c r="G53" s="21">
        <f aca="true" t="shared" si="24" ref="G53:L53">F53+G68-G12</f>
        <v>315.1</v>
      </c>
      <c r="H53" s="21">
        <f t="shared" si="24"/>
        <v>372.65</v>
      </c>
      <c r="I53" s="21">
        <f t="shared" si="24"/>
        <v>336.5</v>
      </c>
      <c r="J53" s="21">
        <f t="shared" si="24"/>
        <v>282.65</v>
      </c>
      <c r="K53" s="21">
        <f t="shared" si="24"/>
        <v>219.89999999999995</v>
      </c>
      <c r="L53" s="21">
        <f t="shared" si="24"/>
        <v>169.39999999999995</v>
      </c>
      <c r="M53" s="21"/>
      <c r="N53" s="36"/>
      <c r="O53" s="21"/>
      <c r="P53" s="21"/>
    </row>
    <row r="54" spans="2:16" ht="12.75">
      <c r="B54" s="35"/>
      <c r="C54" s="21" t="s">
        <v>58</v>
      </c>
      <c r="D54" s="21"/>
      <c r="E54" s="21"/>
      <c r="F54" s="21">
        <v>157</v>
      </c>
      <c r="G54" s="21">
        <f aca="true" t="shared" si="25" ref="G54:L54">F54+G18-G69</f>
        <v>132.25</v>
      </c>
      <c r="H54" s="21">
        <f t="shared" si="25"/>
        <v>94.75</v>
      </c>
      <c r="I54" s="21">
        <f t="shared" si="25"/>
        <v>59.24999999999997</v>
      </c>
      <c r="J54" s="21">
        <f t="shared" si="25"/>
        <v>22.249999999999943</v>
      </c>
      <c r="K54" s="21">
        <f t="shared" si="25"/>
        <v>25.99999999999993</v>
      </c>
      <c r="L54" s="21">
        <f t="shared" si="25"/>
        <v>96.74999999999993</v>
      </c>
      <c r="M54" s="21"/>
      <c r="N54" s="36"/>
      <c r="O54" s="21"/>
      <c r="P54" s="21"/>
    </row>
    <row r="55" spans="2:16" ht="15">
      <c r="B55" s="35"/>
      <c r="C55" s="21" t="s">
        <v>59</v>
      </c>
      <c r="D55" s="21"/>
      <c r="E55" s="21"/>
      <c r="F55" s="23">
        <v>615</v>
      </c>
      <c r="G55" s="23">
        <f aca="true" t="shared" si="26" ref="G55:L55">F55-G71+G32</f>
        <v>608.85</v>
      </c>
      <c r="H55" s="23">
        <f t="shared" si="26"/>
        <v>602.7615000000001</v>
      </c>
      <c r="I55" s="23">
        <f t="shared" si="26"/>
        <v>596.7338850000001</v>
      </c>
      <c r="J55" s="23">
        <f t="shared" si="26"/>
        <v>740.7665461500001</v>
      </c>
      <c r="K55" s="23">
        <f t="shared" si="26"/>
        <v>733.3588806885001</v>
      </c>
      <c r="L55" s="23">
        <f t="shared" si="26"/>
        <v>726.0252918816151</v>
      </c>
      <c r="M55" s="23"/>
      <c r="N55" s="40"/>
      <c r="O55" s="23"/>
      <c r="P55" s="21"/>
    </row>
    <row r="56" spans="2:16" ht="12.75">
      <c r="B56" s="35"/>
      <c r="C56" s="21" t="s">
        <v>60</v>
      </c>
      <c r="D56" s="21"/>
      <c r="E56" s="21"/>
      <c r="F56" s="21">
        <f aca="true" t="shared" si="27" ref="F56:L56">SUM(F51:F55)</f>
        <v>1227</v>
      </c>
      <c r="G56" s="21">
        <f t="shared" si="27"/>
        <v>1230.44125</v>
      </c>
      <c r="H56" s="21">
        <f t="shared" si="27"/>
        <v>1220.45778984375</v>
      </c>
      <c r="I56" s="21">
        <f t="shared" si="27"/>
        <v>1177.3785473192384</v>
      </c>
      <c r="J56" s="21">
        <f t="shared" si="27"/>
        <v>1160.5100288580445</v>
      </c>
      <c r="K56" s="21">
        <f t="shared" si="27"/>
        <v>1165.5910517237712</v>
      </c>
      <c r="L56" s="21">
        <f t="shared" si="27"/>
        <v>1192.9929245830929</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f aca="true" t="shared" si="28" ref="G59:L59">F59+G18-G27</f>
        <v>148.5</v>
      </c>
      <c r="H59" s="21">
        <f t="shared" si="28"/>
        <v>125.55000000000001</v>
      </c>
      <c r="I59" s="21">
        <f t="shared" si="28"/>
        <v>96.95</v>
      </c>
      <c r="J59" s="21">
        <f t="shared" si="28"/>
        <v>75.05</v>
      </c>
      <c r="K59" s="21">
        <f t="shared" si="28"/>
        <v>81.8</v>
      </c>
      <c r="L59" s="21">
        <f t="shared" si="28"/>
        <v>135.2</v>
      </c>
      <c r="M59" s="21"/>
      <c r="N59" s="36"/>
      <c r="O59" s="21"/>
      <c r="P59" s="21"/>
    </row>
    <row r="60" spans="2:16" ht="12.75">
      <c r="B60" s="35"/>
      <c r="C60" s="21" t="s">
        <v>87</v>
      </c>
      <c r="D60" s="21"/>
      <c r="E60" s="21"/>
      <c r="F60" s="21">
        <v>0</v>
      </c>
      <c r="G60" s="21">
        <f aca="true" t="shared" si="29" ref="G60:L60">IF(G47&lt;0,G47,0)</f>
        <v>0</v>
      </c>
      <c r="H60" s="21">
        <f t="shared" si="29"/>
        <v>0</v>
      </c>
      <c r="I60" s="21">
        <f t="shared" si="29"/>
        <v>0</v>
      </c>
      <c r="J60" s="21">
        <f t="shared" si="29"/>
        <v>0</v>
      </c>
      <c r="K60" s="21">
        <f t="shared" si="29"/>
        <v>0</v>
      </c>
      <c r="L60" s="21">
        <f t="shared" si="29"/>
        <v>0</v>
      </c>
      <c r="M60" s="21"/>
      <c r="N60" s="36"/>
      <c r="O60" s="21"/>
      <c r="P60" s="21"/>
    </row>
    <row r="61" spans="2:16" ht="12.75">
      <c r="B61" s="35"/>
      <c r="C61" s="21" t="s">
        <v>63</v>
      </c>
      <c r="D61" s="21"/>
      <c r="E61" s="21"/>
      <c r="F61" s="21">
        <v>0</v>
      </c>
      <c r="G61" s="21">
        <f aca="true" t="shared" si="30" ref="G61:L61">F61+G62*LTDInt/12-G30</f>
        <v>7.5</v>
      </c>
      <c r="H61" s="21">
        <f t="shared" si="30"/>
        <v>15</v>
      </c>
      <c r="I61" s="21">
        <f t="shared" si="30"/>
        <v>0</v>
      </c>
      <c r="J61" s="21">
        <f t="shared" si="30"/>
        <v>7.5</v>
      </c>
      <c r="K61" s="21">
        <f t="shared" si="30"/>
        <v>15</v>
      </c>
      <c r="L61" s="21">
        <f t="shared" si="30"/>
        <v>0</v>
      </c>
      <c r="M61" s="21"/>
      <c r="N61" s="36"/>
      <c r="O61" s="21"/>
      <c r="P61" s="21"/>
    </row>
    <row r="62" spans="2:16" ht="12.75">
      <c r="B62" s="35"/>
      <c r="C62" s="21" t="s">
        <v>64</v>
      </c>
      <c r="D62" s="21"/>
      <c r="E62" s="21"/>
      <c r="F62" s="21">
        <v>600</v>
      </c>
      <c r="G62" s="21">
        <f aca="true" t="shared" si="31" ref="G62:L63">F62</f>
        <v>600</v>
      </c>
      <c r="H62" s="21">
        <f t="shared" si="31"/>
        <v>600</v>
      </c>
      <c r="I62" s="21">
        <f t="shared" si="31"/>
        <v>600</v>
      </c>
      <c r="J62" s="21">
        <f t="shared" si="31"/>
        <v>600</v>
      </c>
      <c r="K62" s="21">
        <f t="shared" si="31"/>
        <v>600</v>
      </c>
      <c r="L62" s="21">
        <f t="shared" si="31"/>
        <v>600</v>
      </c>
      <c r="M62" s="21"/>
      <c r="N62" s="36"/>
      <c r="O62" s="21"/>
      <c r="P62" s="21"/>
    </row>
    <row r="63" spans="2:16" ht="12.75">
      <c r="B63" s="35"/>
      <c r="C63" s="21" t="s">
        <v>65</v>
      </c>
      <c r="D63" s="21"/>
      <c r="E63" s="21"/>
      <c r="F63" s="21">
        <v>120</v>
      </c>
      <c r="G63" s="21">
        <f t="shared" si="31"/>
        <v>120</v>
      </c>
      <c r="H63" s="21">
        <f t="shared" si="31"/>
        <v>120</v>
      </c>
      <c r="I63" s="21">
        <f t="shared" si="31"/>
        <v>120</v>
      </c>
      <c r="J63" s="21">
        <f t="shared" si="31"/>
        <v>120</v>
      </c>
      <c r="K63" s="21">
        <f t="shared" si="31"/>
        <v>120</v>
      </c>
      <c r="L63" s="21">
        <f t="shared" si="31"/>
        <v>120</v>
      </c>
      <c r="M63" s="21"/>
      <c r="N63" s="36"/>
      <c r="O63" s="21"/>
      <c r="P63" s="21"/>
    </row>
    <row r="64" spans="2:16" ht="15">
      <c r="B64" s="35"/>
      <c r="C64" s="21" t="s">
        <v>66</v>
      </c>
      <c r="D64" s="21"/>
      <c r="E64" s="21"/>
      <c r="F64" s="23">
        <v>347</v>
      </c>
      <c r="G64" s="23">
        <f aca="true" t="shared" si="32" ref="G64:L64">F64+G80</f>
        <v>354.44125</v>
      </c>
      <c r="H64" s="23">
        <f t="shared" si="32"/>
        <v>359.90778984375004</v>
      </c>
      <c r="I64" s="23">
        <f t="shared" si="32"/>
        <v>360.4285473192383</v>
      </c>
      <c r="J64" s="23">
        <f t="shared" si="32"/>
        <v>357.9600288580446</v>
      </c>
      <c r="K64" s="23">
        <f t="shared" si="32"/>
        <v>348.7910517237713</v>
      </c>
      <c r="L64" s="23">
        <f t="shared" si="32"/>
        <v>337.792924583093</v>
      </c>
      <c r="M64" s="23"/>
      <c r="N64" s="40"/>
      <c r="O64" s="23"/>
      <c r="P64" s="21"/>
    </row>
    <row r="65" spans="2:16" ht="12.75">
      <c r="B65" s="35"/>
      <c r="C65" s="21" t="s">
        <v>67</v>
      </c>
      <c r="D65" s="21"/>
      <c r="E65" s="21"/>
      <c r="F65" s="21">
        <f aca="true" t="shared" si="33" ref="F65:L65">SUM(F59:F64)</f>
        <v>1227</v>
      </c>
      <c r="G65" s="21">
        <f t="shared" si="33"/>
        <v>1230.44125</v>
      </c>
      <c r="H65" s="21">
        <f t="shared" si="33"/>
        <v>1220.45778984375</v>
      </c>
      <c r="I65" s="21">
        <f t="shared" si="33"/>
        <v>1177.3785473192384</v>
      </c>
      <c r="J65" s="21">
        <f t="shared" si="33"/>
        <v>1160.5100288580445</v>
      </c>
      <c r="K65" s="21">
        <f t="shared" si="33"/>
        <v>1165.5910517237712</v>
      </c>
      <c r="L65" s="21">
        <f t="shared" si="33"/>
        <v>1192.992924583093</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f aca="true" t="shared" si="34" ref="G68:L68">(Collections0+Collections1+Collections2+Collections3)*G5</f>
        <v>247.5</v>
      </c>
      <c r="H68" s="21">
        <f t="shared" si="34"/>
        <v>232.65</v>
      </c>
      <c r="I68" s="21">
        <f t="shared" si="34"/>
        <v>188.1</v>
      </c>
      <c r="J68" s="21">
        <f t="shared" si="34"/>
        <v>158.4</v>
      </c>
      <c r="K68" s="21">
        <f t="shared" si="34"/>
        <v>108.9</v>
      </c>
      <c r="L68" s="21">
        <f t="shared" si="34"/>
        <v>89.1</v>
      </c>
      <c r="M68" s="21"/>
      <c r="N68" s="36"/>
      <c r="O68" s="21"/>
      <c r="P68" s="21"/>
    </row>
    <row r="69" spans="2:16" ht="12.75">
      <c r="B69" s="35"/>
      <c r="C69" s="21" t="s">
        <v>70</v>
      </c>
      <c r="D69" s="21"/>
      <c r="E69" s="21"/>
      <c r="F69" s="21"/>
      <c r="G69" s="21">
        <f aca="true" t="shared" si="35" ref="G69:L69">Materials*G5</f>
        <v>170</v>
      </c>
      <c r="H69" s="21">
        <f t="shared" si="35"/>
        <v>159.8</v>
      </c>
      <c r="I69" s="21">
        <f t="shared" si="35"/>
        <v>129.20000000000002</v>
      </c>
      <c r="J69" s="21">
        <f t="shared" si="35"/>
        <v>108.80000000000001</v>
      </c>
      <c r="K69" s="21">
        <f t="shared" si="35"/>
        <v>74.80000000000001</v>
      </c>
      <c r="L69" s="21">
        <f t="shared" si="35"/>
        <v>61.2</v>
      </c>
      <c r="M69" s="21"/>
      <c r="N69" s="36"/>
      <c r="O69" s="21"/>
      <c r="P69" s="21"/>
    </row>
    <row r="70" spans="2:16" ht="12.75">
      <c r="B70" s="35"/>
      <c r="C70" s="21" t="s">
        <v>71</v>
      </c>
      <c r="D70" s="21"/>
      <c r="E70" s="21"/>
      <c r="F70" s="21"/>
      <c r="G70" s="21">
        <f aca="true" t="shared" si="36" ref="G70:L70">G28</f>
        <v>50</v>
      </c>
      <c r="H70" s="21">
        <f t="shared" si="36"/>
        <v>47.900000000000006</v>
      </c>
      <c r="I70" s="21">
        <f t="shared" si="36"/>
        <v>41.6</v>
      </c>
      <c r="J70" s="21">
        <f t="shared" si="36"/>
        <v>37.400000000000006</v>
      </c>
      <c r="K70" s="21">
        <f t="shared" si="36"/>
        <v>30.400000000000002</v>
      </c>
      <c r="L70" s="21">
        <f t="shared" si="36"/>
        <v>27.6</v>
      </c>
      <c r="M70" s="21"/>
      <c r="N70" s="36"/>
      <c r="O70" s="21"/>
      <c r="P70" s="21"/>
    </row>
    <row r="71" spans="2:16" ht="15">
      <c r="B71" s="35"/>
      <c r="C71" s="23" t="s">
        <v>72</v>
      </c>
      <c r="D71" s="21"/>
      <c r="E71" s="21"/>
      <c r="F71" s="21"/>
      <c r="G71" s="23">
        <f aca="true" t="shared" si="37" ref="G71:L71">F55*Depr</f>
        <v>6.15</v>
      </c>
      <c r="H71" s="23">
        <f t="shared" si="37"/>
        <v>6.088500000000001</v>
      </c>
      <c r="I71" s="23">
        <f t="shared" si="37"/>
        <v>6.027615000000001</v>
      </c>
      <c r="J71" s="23">
        <f t="shared" si="37"/>
        <v>5.967338850000001</v>
      </c>
      <c r="K71" s="23">
        <f t="shared" si="37"/>
        <v>7.407665461500001</v>
      </c>
      <c r="L71" s="23">
        <f t="shared" si="37"/>
        <v>7.333588806885001</v>
      </c>
      <c r="M71" s="23"/>
      <c r="N71" s="40"/>
      <c r="O71" s="23"/>
      <c r="P71" s="21"/>
    </row>
    <row r="72" spans="2:16" ht="12.75">
      <c r="B72" s="35"/>
      <c r="C72" s="21" t="s">
        <v>69</v>
      </c>
      <c r="D72" s="21"/>
      <c r="E72" s="21"/>
      <c r="F72" s="21"/>
      <c r="G72" s="21">
        <f aca="true" t="shared" si="38" ref="G72:L72">G68-G69-G70-G71</f>
        <v>21.35</v>
      </c>
      <c r="H72" s="21">
        <f t="shared" si="38"/>
        <v>18.86149999999999</v>
      </c>
      <c r="I72" s="21">
        <f t="shared" si="38"/>
        <v>11.272384999999975</v>
      </c>
      <c r="J72" s="21">
        <f t="shared" si="38"/>
        <v>6.232661149999988</v>
      </c>
      <c r="K72" s="21">
        <f t="shared" si="38"/>
        <v>-3.7076654615000084</v>
      </c>
      <c r="L72" s="21">
        <f t="shared" si="38"/>
        <v>-7.033588806885011</v>
      </c>
      <c r="M72" s="21"/>
      <c r="N72" s="36"/>
      <c r="O72" s="21"/>
      <c r="P72" s="21"/>
    </row>
    <row r="73" spans="2:16" ht="12.75">
      <c r="B73" s="35"/>
      <c r="C73" s="21" t="s">
        <v>93</v>
      </c>
      <c r="D73" s="21"/>
      <c r="E73" s="21"/>
      <c r="F73" s="21"/>
      <c r="G73" s="21">
        <f aca="true" t="shared" si="39" ref="G73:L73">F62*LTDInt/12</f>
        <v>7.5</v>
      </c>
      <c r="H73" s="21">
        <f t="shared" si="39"/>
        <v>7.5</v>
      </c>
      <c r="I73" s="21">
        <f t="shared" si="39"/>
        <v>7.5</v>
      </c>
      <c r="J73" s="21">
        <f t="shared" si="39"/>
        <v>7.5</v>
      </c>
      <c r="K73" s="21">
        <f t="shared" si="39"/>
        <v>7.5</v>
      </c>
      <c r="L73" s="21">
        <f t="shared" si="39"/>
        <v>7.5</v>
      </c>
      <c r="M73" s="21"/>
      <c r="N73" s="36"/>
      <c r="O73" s="21"/>
      <c r="P73" s="21"/>
    </row>
    <row r="74" spans="2:16" ht="12.75">
      <c r="B74" s="35"/>
      <c r="C74" s="43" t="s">
        <v>91</v>
      </c>
      <c r="D74" s="21"/>
      <c r="E74" s="21"/>
      <c r="F74" s="21"/>
      <c r="G74" s="21">
        <f aca="true" t="shared" si="40" ref="G74:L74">-STInt*F52</f>
        <v>-0.6749999999999999</v>
      </c>
      <c r="H74" s="21">
        <f t="shared" si="40"/>
        <v>-0.12548437500000012</v>
      </c>
      <c r="I74" s="21">
        <f t="shared" si="40"/>
        <v>-0.1057034238281249</v>
      </c>
      <c r="J74" s="21">
        <f t="shared" si="40"/>
        <v>-0.546541217394287</v>
      </c>
      <c r="K74" s="21">
        <f t="shared" si="40"/>
        <v>-0.1784698703103341</v>
      </c>
      <c r="L74" s="21">
        <f t="shared" si="40"/>
        <v>-0.6903162827645345</v>
      </c>
      <c r="M74" s="21"/>
      <c r="N74" s="36"/>
      <c r="O74" s="21"/>
      <c r="P74" s="21"/>
    </row>
    <row r="75" spans="2:16" ht="15">
      <c r="B75" s="35"/>
      <c r="C75" s="23" t="s">
        <v>94</v>
      </c>
      <c r="D75" s="21"/>
      <c r="E75" s="21"/>
      <c r="F75" s="21"/>
      <c r="G75" s="21">
        <f aca="true" t="shared" si="41" ref="G75:L75">STInt*F60</f>
        <v>0</v>
      </c>
      <c r="H75" s="21">
        <f t="shared" si="41"/>
        <v>0</v>
      </c>
      <c r="I75" s="21">
        <f t="shared" si="41"/>
        <v>0</v>
      </c>
      <c r="J75" s="21">
        <f t="shared" si="41"/>
        <v>0</v>
      </c>
      <c r="K75" s="21">
        <f t="shared" si="41"/>
        <v>0</v>
      </c>
      <c r="L75" s="21">
        <f t="shared" si="41"/>
        <v>0</v>
      </c>
      <c r="M75" s="23"/>
      <c r="N75" s="40"/>
      <c r="O75" s="23"/>
      <c r="P75" s="21"/>
    </row>
    <row r="76" spans="2:16" ht="12.75">
      <c r="B76" s="35"/>
      <c r="C76" s="21" t="s">
        <v>73</v>
      </c>
      <c r="D76" s="21"/>
      <c r="E76" s="21"/>
      <c r="F76" s="21"/>
      <c r="G76" s="21">
        <f aca="true" t="shared" si="42" ref="G76:L76">G72-G73-G74-G75</f>
        <v>14.525000000000002</v>
      </c>
      <c r="H76" s="21">
        <f t="shared" si="42"/>
        <v>11.48698437499999</v>
      </c>
      <c r="I76" s="21">
        <f t="shared" si="42"/>
        <v>3.8780884238280997</v>
      </c>
      <c r="J76" s="21">
        <f t="shared" si="42"/>
        <v>-0.7207976326057253</v>
      </c>
      <c r="K76" s="21">
        <f t="shared" si="42"/>
        <v>-11.029195591189675</v>
      </c>
      <c r="L76" s="21">
        <f t="shared" si="42"/>
        <v>-13.843272524120476</v>
      </c>
      <c r="M76" s="21"/>
      <c r="N76" s="36"/>
      <c r="O76" s="21"/>
      <c r="P76" s="21"/>
    </row>
    <row r="77" spans="2:16" ht="15">
      <c r="B77" s="35"/>
      <c r="C77" s="23" t="s">
        <v>74</v>
      </c>
      <c r="D77" s="21"/>
      <c r="E77" s="21"/>
      <c r="F77" s="21"/>
      <c r="G77" s="23">
        <f aca="true" t="shared" si="43" ref="G77:L77">G76*TaxRate</f>
        <v>5.08375</v>
      </c>
      <c r="H77" s="23">
        <f t="shared" si="43"/>
        <v>4.020444531249996</v>
      </c>
      <c r="I77" s="23">
        <f t="shared" si="43"/>
        <v>1.3573309483398348</v>
      </c>
      <c r="J77" s="23">
        <f t="shared" si="43"/>
        <v>-0.25227917141200384</v>
      </c>
      <c r="K77" s="23">
        <f t="shared" si="43"/>
        <v>-3.8602184569163858</v>
      </c>
      <c r="L77" s="23">
        <f t="shared" si="43"/>
        <v>-4.8451453834421665</v>
      </c>
      <c r="M77" s="23"/>
      <c r="N77" s="40"/>
      <c r="O77" s="23"/>
      <c r="P77" s="21"/>
    </row>
    <row r="78" spans="2:16" ht="12.75">
      <c r="B78" s="35"/>
      <c r="C78" s="21" t="s">
        <v>75</v>
      </c>
      <c r="D78" s="21"/>
      <c r="E78" s="21"/>
      <c r="F78" s="21"/>
      <c r="G78" s="21">
        <f aca="true" t="shared" si="44" ref="G78:L78">G76-G77</f>
        <v>9.441250000000002</v>
      </c>
      <c r="H78" s="21">
        <f t="shared" si="44"/>
        <v>7.4665398437499935</v>
      </c>
      <c r="I78" s="21">
        <f t="shared" si="44"/>
        <v>2.520757475488265</v>
      </c>
      <c r="J78" s="21">
        <f t="shared" si="44"/>
        <v>-0.4685184611937214</v>
      </c>
      <c r="K78" s="21">
        <f t="shared" si="44"/>
        <v>-7.168977134273289</v>
      </c>
      <c r="L78" s="21">
        <f t="shared" si="44"/>
        <v>-8.99812714067831</v>
      </c>
      <c r="M78" s="21"/>
      <c r="N78" s="36"/>
      <c r="O78" s="21"/>
      <c r="P78" s="21"/>
    </row>
    <row r="79" spans="2:16" ht="15">
      <c r="B79" s="35"/>
      <c r="C79" s="23" t="s">
        <v>76</v>
      </c>
      <c r="D79" s="21"/>
      <c r="E79" s="21"/>
      <c r="F79" s="21"/>
      <c r="G79" s="23">
        <f aca="true" t="shared" si="45" ref="G79:L79">G31</f>
        <v>2</v>
      </c>
      <c r="H79" s="23">
        <f t="shared" si="45"/>
        <v>2</v>
      </c>
      <c r="I79" s="23">
        <f t="shared" si="45"/>
        <v>2</v>
      </c>
      <c r="J79" s="23">
        <f t="shared" si="45"/>
        <v>2</v>
      </c>
      <c r="K79" s="23">
        <f t="shared" si="45"/>
        <v>2</v>
      </c>
      <c r="L79" s="23">
        <f t="shared" si="45"/>
        <v>2</v>
      </c>
      <c r="M79" s="23"/>
      <c r="N79" s="40"/>
      <c r="O79" s="23"/>
      <c r="P79" s="21"/>
    </row>
    <row r="80" spans="2:16" ht="12.75">
      <c r="B80" s="35"/>
      <c r="C80" s="21" t="s">
        <v>66</v>
      </c>
      <c r="D80" s="21"/>
      <c r="E80" s="21"/>
      <c r="F80" s="21"/>
      <c r="G80" s="21">
        <f aca="true" t="shared" si="46" ref="G80:L80">G78-G79</f>
        <v>7.441250000000002</v>
      </c>
      <c r="H80" s="21">
        <f t="shared" si="46"/>
        <v>5.4665398437499935</v>
      </c>
      <c r="I80" s="21">
        <f t="shared" si="46"/>
        <v>0.5207574754882649</v>
      </c>
      <c r="J80" s="21">
        <f t="shared" si="46"/>
        <v>-2.4685184611937214</v>
      </c>
      <c r="K80" s="21">
        <f t="shared" si="46"/>
        <v>-9.16897713427329</v>
      </c>
      <c r="L80" s="21">
        <f t="shared" si="46"/>
        <v>-10.99812714067831</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1:Q82"/>
  <sheetViews>
    <sheetView workbookViewId="0" topLeftCell="A1">
      <selection activeCell="M13" sqref="M13"/>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c r="H8" s="21"/>
      <c r="I8" s="21"/>
      <c r="J8" s="21"/>
      <c r="K8" s="21"/>
      <c r="L8" s="21"/>
      <c r="M8" s="21"/>
      <c r="N8" s="36"/>
      <c r="O8" s="21"/>
      <c r="P8" s="21"/>
    </row>
    <row r="9" spans="2:16" ht="12.75">
      <c r="B9" s="35"/>
      <c r="C9" s="21" t="s">
        <v>33</v>
      </c>
      <c r="D9" s="21"/>
      <c r="E9" s="21"/>
      <c r="F9" s="21"/>
      <c r="G9" s="21"/>
      <c r="H9" s="21"/>
      <c r="I9" s="21"/>
      <c r="J9" s="21"/>
      <c r="K9" s="21"/>
      <c r="L9" s="21"/>
      <c r="M9" s="21"/>
      <c r="N9" s="36"/>
      <c r="O9" s="21"/>
      <c r="P9" s="21"/>
    </row>
    <row r="10" spans="2:16" ht="12.75">
      <c r="B10" s="35"/>
      <c r="C10" s="21" t="s">
        <v>34</v>
      </c>
      <c r="D10" s="21"/>
      <c r="E10" s="21"/>
      <c r="F10" s="21"/>
      <c r="G10" s="21"/>
      <c r="H10" s="21"/>
      <c r="I10" s="21"/>
      <c r="J10" s="21"/>
      <c r="K10" s="21"/>
      <c r="L10" s="21"/>
      <c r="M10" s="21"/>
      <c r="N10" s="36"/>
      <c r="O10" s="21"/>
      <c r="P10" s="21"/>
    </row>
    <row r="11" spans="2:17" ht="15">
      <c r="B11" s="35"/>
      <c r="C11" s="21" t="s">
        <v>35</v>
      </c>
      <c r="D11" s="21"/>
      <c r="E11" s="21"/>
      <c r="F11" s="21"/>
      <c r="G11" s="23"/>
      <c r="H11" s="23"/>
      <c r="I11" s="23"/>
      <c r="J11" s="23"/>
      <c r="K11" s="23"/>
      <c r="L11" s="23"/>
      <c r="M11" s="23"/>
      <c r="N11" s="40"/>
      <c r="O11" s="23"/>
      <c r="P11" s="23"/>
      <c r="Q11" s="3"/>
    </row>
    <row r="12" spans="2:16" ht="12.75">
      <c r="B12" s="35"/>
      <c r="C12" s="21" t="s">
        <v>36</v>
      </c>
      <c r="D12" s="21"/>
      <c r="E12" s="21"/>
      <c r="F12" s="21"/>
      <c r="G12" s="21">
        <f aca="true" t="shared" si="0" ref="G12:L12">SUM(G8:G11)</f>
        <v>0</v>
      </c>
      <c r="H12" s="21">
        <f t="shared" si="0"/>
        <v>0</v>
      </c>
      <c r="I12" s="21">
        <f t="shared" si="0"/>
        <v>0</v>
      </c>
      <c r="J12" s="21">
        <f t="shared" si="0"/>
        <v>0</v>
      </c>
      <c r="K12" s="21">
        <f t="shared" si="0"/>
        <v>0</v>
      </c>
      <c r="L12" s="21">
        <f t="shared" si="0"/>
        <v>0</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c r="H15" s="21"/>
      <c r="I15" s="21"/>
      <c r="J15" s="21"/>
      <c r="K15" s="21"/>
      <c r="L15" s="21"/>
      <c r="M15" s="21"/>
      <c r="N15" s="36"/>
      <c r="O15" s="21"/>
      <c r="P15" s="21"/>
    </row>
    <row r="16" spans="2:16" ht="12.75">
      <c r="B16" s="35"/>
      <c r="C16" s="21" t="s">
        <v>39</v>
      </c>
      <c r="D16" s="21"/>
      <c r="E16" s="21"/>
      <c r="F16" s="21">
        <f>Inputs!$M$7*G5</f>
        <v>62.5</v>
      </c>
      <c r="G16" s="21"/>
      <c r="H16" s="21"/>
      <c r="I16" s="21"/>
      <c r="J16" s="21"/>
      <c r="K16" s="21"/>
      <c r="L16" s="21"/>
      <c r="M16" s="21"/>
      <c r="N16" s="36"/>
      <c r="O16" s="21"/>
      <c r="P16" s="21"/>
    </row>
    <row r="17" spans="2:17" ht="15">
      <c r="B17" s="35"/>
      <c r="C17" s="21" t="s">
        <v>40</v>
      </c>
      <c r="D17" s="21"/>
      <c r="E17" s="21"/>
      <c r="F17" s="23">
        <f>Inputs!$M$8*H5</f>
        <v>82.25</v>
      </c>
      <c r="G17" s="23"/>
      <c r="H17" s="23"/>
      <c r="I17" s="23"/>
      <c r="J17" s="23"/>
      <c r="K17" s="23"/>
      <c r="L17" s="23"/>
      <c r="M17" s="23"/>
      <c r="N17" s="40"/>
      <c r="O17" s="23"/>
      <c r="P17" s="23"/>
      <c r="Q17" s="3"/>
    </row>
    <row r="18" spans="2:16" ht="12.75">
      <c r="B18" s="35"/>
      <c r="C18" s="21" t="s">
        <v>41</v>
      </c>
      <c r="D18" s="21"/>
      <c r="E18" s="21"/>
      <c r="F18" s="21">
        <f aca="true" t="shared" si="1" ref="F18:L18">SUM(F15:F17)</f>
        <v>156.75</v>
      </c>
      <c r="G18" s="21">
        <f t="shared" si="1"/>
        <v>0</v>
      </c>
      <c r="H18" s="21">
        <f t="shared" si="1"/>
        <v>0</v>
      </c>
      <c r="I18" s="21">
        <f t="shared" si="1"/>
        <v>0</v>
      </c>
      <c r="J18" s="21">
        <f t="shared" si="1"/>
        <v>0</v>
      </c>
      <c r="K18" s="21">
        <f t="shared" si="1"/>
        <v>0</v>
      </c>
      <c r="L18" s="21">
        <f t="shared" si="1"/>
        <v>0</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2" ref="G22:L22">G12</f>
        <v>0</v>
      </c>
      <c r="H22" s="21">
        <f t="shared" si="2"/>
        <v>0</v>
      </c>
      <c r="I22" s="21">
        <f t="shared" si="2"/>
        <v>0</v>
      </c>
      <c r="J22" s="21">
        <f t="shared" si="2"/>
        <v>0</v>
      </c>
      <c r="K22" s="21">
        <f t="shared" si="2"/>
        <v>0</v>
      </c>
      <c r="L22" s="21">
        <f t="shared" si="2"/>
        <v>0</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3" ref="G24:L24">SUM(G22:G23)</f>
        <v>0</v>
      </c>
      <c r="H24" s="21">
        <f t="shared" si="3"/>
        <v>0</v>
      </c>
      <c r="I24" s="21">
        <f t="shared" si="3"/>
        <v>0</v>
      </c>
      <c r="J24" s="21">
        <f t="shared" si="3"/>
        <v>0</v>
      </c>
      <c r="K24" s="21">
        <f t="shared" si="3"/>
        <v>0</v>
      </c>
      <c r="L24" s="21">
        <f t="shared" si="3"/>
        <v>0</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c r="H27" s="21"/>
      <c r="I27" s="21"/>
      <c r="J27" s="21"/>
      <c r="K27" s="21"/>
      <c r="L27" s="21"/>
      <c r="M27" s="21"/>
      <c r="N27" s="36"/>
      <c r="O27" s="21"/>
      <c r="P27" s="21"/>
    </row>
    <row r="28" spans="2:16" ht="12.75">
      <c r="B28" s="35"/>
      <c r="C28" s="21" t="s">
        <v>15</v>
      </c>
      <c r="D28" s="21"/>
      <c r="E28" s="21"/>
      <c r="F28" s="21"/>
      <c r="G28" s="21"/>
      <c r="H28" s="21"/>
      <c r="I28" s="21"/>
      <c r="J28" s="21"/>
      <c r="K28" s="21"/>
      <c r="L28" s="21"/>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4" ref="G34:L34">SUM(G27:G33)</f>
        <v>2</v>
      </c>
      <c r="H34" s="21">
        <f t="shared" si="4"/>
        <v>2</v>
      </c>
      <c r="I34" s="21">
        <f t="shared" si="4"/>
        <v>2</v>
      </c>
      <c r="J34" s="21">
        <f t="shared" si="4"/>
        <v>152</v>
      </c>
      <c r="K34" s="21">
        <f t="shared" si="4"/>
        <v>2</v>
      </c>
      <c r="L34" s="21">
        <f t="shared" si="4"/>
        <v>2</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5" ref="G36:L36">G24-G34</f>
        <v>-2</v>
      </c>
      <c r="H36" s="21">
        <f t="shared" si="5"/>
        <v>-2</v>
      </c>
      <c r="I36" s="21">
        <f t="shared" si="5"/>
        <v>-2</v>
      </c>
      <c r="J36" s="21">
        <f t="shared" si="5"/>
        <v>-152</v>
      </c>
      <c r="K36" s="21">
        <f t="shared" si="5"/>
        <v>-2</v>
      </c>
      <c r="L36" s="21">
        <f t="shared" si="5"/>
        <v>-2</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6" ref="G43:L43">+G36</f>
        <v>-2</v>
      </c>
      <c r="H43" s="21">
        <f t="shared" si="6"/>
        <v>-2</v>
      </c>
      <c r="I43" s="21">
        <f t="shared" si="6"/>
        <v>-2</v>
      </c>
      <c r="J43" s="21">
        <f t="shared" si="6"/>
        <v>-152</v>
      </c>
      <c r="K43" s="21">
        <f t="shared" si="6"/>
        <v>-2</v>
      </c>
      <c r="L43" s="21">
        <f t="shared" si="6"/>
        <v>-2</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7" ref="G45:L45">G39</f>
        <v>0</v>
      </c>
      <c r="H45" s="21">
        <f t="shared" si="7"/>
        <v>0</v>
      </c>
      <c r="I45" s="21">
        <f t="shared" si="7"/>
        <v>0</v>
      </c>
      <c r="J45" s="21">
        <f t="shared" si="7"/>
        <v>0</v>
      </c>
      <c r="K45" s="21">
        <f t="shared" si="7"/>
        <v>0</v>
      </c>
      <c r="L45" s="21">
        <f t="shared" si="7"/>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8" ref="F56:L56">SUM(F51:F55)</f>
        <v>1227</v>
      </c>
      <c r="G56" s="21">
        <f t="shared" si="8"/>
        <v>0</v>
      </c>
      <c r="H56" s="21">
        <f t="shared" si="8"/>
        <v>0</v>
      </c>
      <c r="I56" s="21">
        <f t="shared" si="8"/>
        <v>0</v>
      </c>
      <c r="J56" s="21">
        <f t="shared" si="8"/>
        <v>0</v>
      </c>
      <c r="K56" s="21">
        <f t="shared" si="8"/>
        <v>0</v>
      </c>
      <c r="L56" s="21">
        <f t="shared" si="8"/>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9" ref="G62:L63">F62</f>
        <v>600</v>
      </c>
      <c r="H62" s="21">
        <f t="shared" si="9"/>
        <v>600</v>
      </c>
      <c r="I62" s="21">
        <f t="shared" si="9"/>
        <v>600</v>
      </c>
      <c r="J62" s="21">
        <f t="shared" si="9"/>
        <v>600</v>
      </c>
      <c r="K62" s="21">
        <f t="shared" si="9"/>
        <v>600</v>
      </c>
      <c r="L62" s="21">
        <f t="shared" si="9"/>
        <v>600</v>
      </c>
      <c r="M62" s="21"/>
      <c r="N62" s="36"/>
      <c r="O62" s="21"/>
      <c r="P62" s="21"/>
    </row>
    <row r="63" spans="2:16" ht="12.75">
      <c r="B63" s="35"/>
      <c r="C63" s="21" t="s">
        <v>65</v>
      </c>
      <c r="D63" s="21"/>
      <c r="E63" s="21"/>
      <c r="F63" s="21">
        <v>120</v>
      </c>
      <c r="G63" s="21">
        <f t="shared" si="9"/>
        <v>120</v>
      </c>
      <c r="H63" s="21">
        <f t="shared" si="9"/>
        <v>120</v>
      </c>
      <c r="I63" s="21">
        <f t="shared" si="9"/>
        <v>120</v>
      </c>
      <c r="J63" s="21">
        <f t="shared" si="9"/>
        <v>120</v>
      </c>
      <c r="K63" s="21">
        <f t="shared" si="9"/>
        <v>120</v>
      </c>
      <c r="L63" s="21">
        <f t="shared" si="9"/>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0" ref="F65:L65">SUM(F59:F64)</f>
        <v>1227</v>
      </c>
      <c r="G65" s="21">
        <f t="shared" si="10"/>
        <v>720</v>
      </c>
      <c r="H65" s="21">
        <f t="shared" si="10"/>
        <v>720</v>
      </c>
      <c r="I65" s="21">
        <f t="shared" si="10"/>
        <v>720</v>
      </c>
      <c r="J65" s="21">
        <f t="shared" si="10"/>
        <v>720</v>
      </c>
      <c r="K65" s="21">
        <f t="shared" si="10"/>
        <v>720</v>
      </c>
      <c r="L65" s="21">
        <f t="shared" si="10"/>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11" ref="G72:L72">G68-G69-G70-G71</f>
        <v>0</v>
      </c>
      <c r="H72" s="21">
        <f t="shared" si="11"/>
        <v>0</v>
      </c>
      <c r="I72" s="21">
        <f t="shared" si="11"/>
        <v>0</v>
      </c>
      <c r="J72" s="21">
        <f t="shared" si="11"/>
        <v>0</v>
      </c>
      <c r="K72" s="21">
        <f t="shared" si="11"/>
        <v>0</v>
      </c>
      <c r="L72" s="21">
        <f t="shared" si="11"/>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12" ref="G76:L76">G72-G73-G74-G75</f>
        <v>0</v>
      </c>
      <c r="H76" s="21">
        <f t="shared" si="12"/>
        <v>0</v>
      </c>
      <c r="I76" s="21">
        <f t="shared" si="12"/>
        <v>0</v>
      </c>
      <c r="J76" s="21">
        <f t="shared" si="12"/>
        <v>0</v>
      </c>
      <c r="K76" s="21">
        <f t="shared" si="12"/>
        <v>0</v>
      </c>
      <c r="L76" s="21">
        <f t="shared" si="12"/>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13" ref="G78:L78">G76-G77</f>
        <v>0</v>
      </c>
      <c r="H78" s="21">
        <f t="shared" si="13"/>
        <v>0</v>
      </c>
      <c r="I78" s="21">
        <f t="shared" si="13"/>
        <v>0</v>
      </c>
      <c r="J78" s="21">
        <f t="shared" si="13"/>
        <v>0</v>
      </c>
      <c r="K78" s="21">
        <f t="shared" si="13"/>
        <v>0</v>
      </c>
      <c r="L78" s="21">
        <f t="shared" si="13"/>
        <v>0</v>
      </c>
      <c r="M78" s="21"/>
      <c r="N78" s="36"/>
      <c r="O78" s="21"/>
      <c r="P78" s="21"/>
    </row>
    <row r="79" spans="2:16" ht="15">
      <c r="B79" s="35"/>
      <c r="C79" s="23" t="s">
        <v>76</v>
      </c>
      <c r="D79" s="21"/>
      <c r="E79" s="21"/>
      <c r="F79" s="21"/>
      <c r="G79" s="23">
        <f aca="true" t="shared" si="14" ref="G79:L79">G31</f>
        <v>2</v>
      </c>
      <c r="H79" s="23">
        <f t="shared" si="14"/>
        <v>2</v>
      </c>
      <c r="I79" s="23">
        <f t="shared" si="14"/>
        <v>2</v>
      </c>
      <c r="J79" s="23">
        <f t="shared" si="14"/>
        <v>2</v>
      </c>
      <c r="K79" s="23">
        <f t="shared" si="14"/>
        <v>2</v>
      </c>
      <c r="L79" s="23">
        <f t="shared" si="14"/>
        <v>2</v>
      </c>
      <c r="M79" s="23"/>
      <c r="N79" s="40"/>
      <c r="O79" s="23"/>
      <c r="P79" s="21"/>
    </row>
    <row r="80" spans="2:16" ht="12.75">
      <c r="B80" s="35"/>
      <c r="C80" s="21" t="s">
        <v>66</v>
      </c>
      <c r="D80" s="21"/>
      <c r="E80" s="21"/>
      <c r="F80" s="21"/>
      <c r="G80" s="21">
        <f aca="true" t="shared" si="15" ref="G80:L80">G78-G79</f>
        <v>-2</v>
      </c>
      <c r="H80" s="21">
        <f t="shared" si="15"/>
        <v>-2</v>
      </c>
      <c r="I80" s="21">
        <f t="shared" si="15"/>
        <v>-2</v>
      </c>
      <c r="J80" s="21">
        <f t="shared" si="15"/>
        <v>-2</v>
      </c>
      <c r="K80" s="21">
        <f t="shared" si="15"/>
        <v>-2</v>
      </c>
      <c r="L80" s="21">
        <f t="shared" si="15"/>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1:Q82"/>
  <sheetViews>
    <sheetView workbookViewId="0" topLeftCell="A1">
      <selection activeCell="G8" sqref="G8"/>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c r="H8" s="21"/>
      <c r="I8" s="21"/>
      <c r="J8" s="21"/>
      <c r="K8" s="21"/>
      <c r="L8" s="21"/>
      <c r="M8" s="21"/>
      <c r="N8" s="36"/>
      <c r="O8" s="21"/>
      <c r="P8" s="21"/>
    </row>
    <row r="9" spans="2:16" ht="12.75">
      <c r="B9" s="35"/>
      <c r="C9" s="21" t="s">
        <v>33</v>
      </c>
      <c r="D9" s="21"/>
      <c r="E9" s="21"/>
      <c r="F9" s="21"/>
      <c r="G9" s="21"/>
      <c r="H9" s="21"/>
      <c r="I9" s="21"/>
      <c r="J9" s="21"/>
      <c r="K9" s="21"/>
      <c r="L9" s="21"/>
      <c r="M9" s="21"/>
      <c r="N9" s="36"/>
      <c r="O9" s="21"/>
      <c r="P9" s="21"/>
    </row>
    <row r="10" spans="2:16" ht="12.75">
      <c r="B10" s="35"/>
      <c r="C10" s="21" t="s">
        <v>34</v>
      </c>
      <c r="D10" s="21"/>
      <c r="E10" s="21"/>
      <c r="F10" s="21"/>
      <c r="G10" s="21"/>
      <c r="H10" s="21"/>
      <c r="I10" s="21"/>
      <c r="J10" s="21"/>
      <c r="K10" s="21"/>
      <c r="L10" s="21"/>
      <c r="M10" s="21"/>
      <c r="N10" s="36"/>
      <c r="O10" s="21"/>
      <c r="P10" s="21"/>
    </row>
    <row r="11" spans="2:17" ht="15">
      <c r="B11" s="35"/>
      <c r="C11" s="21" t="s">
        <v>35</v>
      </c>
      <c r="D11" s="21"/>
      <c r="E11" s="21"/>
      <c r="F11" s="21"/>
      <c r="G11" s="23"/>
      <c r="H11" s="23"/>
      <c r="I11" s="23"/>
      <c r="J11" s="23"/>
      <c r="K11" s="23"/>
      <c r="L11" s="23"/>
      <c r="M11" s="23"/>
      <c r="N11" s="40"/>
      <c r="O11" s="23"/>
      <c r="P11" s="23"/>
      <c r="Q11" s="3"/>
    </row>
    <row r="12" spans="2:16" ht="12.75">
      <c r="B12" s="35"/>
      <c r="C12" s="21" t="s">
        <v>36</v>
      </c>
      <c r="D12" s="21"/>
      <c r="E12" s="21"/>
      <c r="F12" s="21"/>
      <c r="G12" s="21">
        <f aca="true" t="shared" si="0" ref="G12:L12">SUM(G8:G11)</f>
        <v>0</v>
      </c>
      <c r="H12" s="21">
        <f t="shared" si="0"/>
        <v>0</v>
      </c>
      <c r="I12" s="21">
        <f t="shared" si="0"/>
        <v>0</v>
      </c>
      <c r="J12" s="21">
        <f t="shared" si="0"/>
        <v>0</v>
      </c>
      <c r="K12" s="21">
        <f t="shared" si="0"/>
        <v>0</v>
      </c>
      <c r="L12" s="21">
        <f t="shared" si="0"/>
        <v>0</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c r="H15" s="21"/>
      <c r="I15" s="21"/>
      <c r="J15" s="21"/>
      <c r="K15" s="21"/>
      <c r="L15" s="21"/>
      <c r="M15" s="21"/>
      <c r="N15" s="36"/>
      <c r="O15" s="21"/>
      <c r="P15" s="21"/>
    </row>
    <row r="16" spans="2:16" ht="12.75">
      <c r="B16" s="35"/>
      <c r="C16" s="21" t="s">
        <v>39</v>
      </c>
      <c r="D16" s="21"/>
      <c r="E16" s="21"/>
      <c r="F16" s="21">
        <f>Inputs!$M$7*G5</f>
        <v>62.5</v>
      </c>
      <c r="G16" s="21"/>
      <c r="H16" s="21"/>
      <c r="I16" s="21"/>
      <c r="J16" s="21"/>
      <c r="K16" s="21"/>
      <c r="L16" s="21"/>
      <c r="M16" s="21"/>
      <c r="N16" s="36"/>
      <c r="O16" s="21"/>
      <c r="P16" s="21"/>
    </row>
    <row r="17" spans="2:17" ht="15">
      <c r="B17" s="35"/>
      <c r="C17" s="21" t="s">
        <v>40</v>
      </c>
      <c r="D17" s="21"/>
      <c r="E17" s="21"/>
      <c r="F17" s="23">
        <f>Inputs!$M$8*H5</f>
        <v>82.25</v>
      </c>
      <c r="G17" s="23"/>
      <c r="H17" s="23"/>
      <c r="I17" s="23"/>
      <c r="J17" s="23"/>
      <c r="K17" s="23"/>
      <c r="L17" s="23"/>
      <c r="M17" s="23"/>
      <c r="N17" s="40"/>
      <c r="O17" s="23"/>
      <c r="P17" s="23"/>
      <c r="Q17" s="3"/>
    </row>
    <row r="18" spans="2:16" ht="12.75">
      <c r="B18" s="35"/>
      <c r="C18" s="21" t="s">
        <v>41</v>
      </c>
      <c r="D18" s="21"/>
      <c r="E18" s="21"/>
      <c r="F18" s="21">
        <f>SUM(F15:F17)</f>
        <v>156.75</v>
      </c>
      <c r="G18" s="21">
        <f aca="true" t="shared" si="1" ref="G18:L18">SUM(G15:G17)</f>
        <v>0</v>
      </c>
      <c r="H18" s="21">
        <f t="shared" si="1"/>
        <v>0</v>
      </c>
      <c r="I18" s="21">
        <f t="shared" si="1"/>
        <v>0</v>
      </c>
      <c r="J18" s="21">
        <f t="shared" si="1"/>
        <v>0</v>
      </c>
      <c r="K18" s="21">
        <f t="shared" si="1"/>
        <v>0</v>
      </c>
      <c r="L18" s="21">
        <f t="shared" si="1"/>
        <v>0</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2" ref="G22:L22">G12</f>
        <v>0</v>
      </c>
      <c r="H22" s="21">
        <f t="shared" si="2"/>
        <v>0</v>
      </c>
      <c r="I22" s="21">
        <f t="shared" si="2"/>
        <v>0</v>
      </c>
      <c r="J22" s="21">
        <f t="shared" si="2"/>
        <v>0</v>
      </c>
      <c r="K22" s="21">
        <f t="shared" si="2"/>
        <v>0</v>
      </c>
      <c r="L22" s="21">
        <f t="shared" si="2"/>
        <v>0</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3" ref="G24:L24">SUM(G22:G23)</f>
        <v>0</v>
      </c>
      <c r="H24" s="21">
        <f t="shared" si="3"/>
        <v>0</v>
      </c>
      <c r="I24" s="21">
        <f t="shared" si="3"/>
        <v>0</v>
      </c>
      <c r="J24" s="21">
        <f t="shared" si="3"/>
        <v>0</v>
      </c>
      <c r="K24" s="21">
        <f t="shared" si="3"/>
        <v>0</v>
      </c>
      <c r="L24" s="21">
        <f t="shared" si="3"/>
        <v>0</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c r="H27" s="21"/>
      <c r="I27" s="21"/>
      <c r="J27" s="21"/>
      <c r="K27" s="21"/>
      <c r="L27" s="21"/>
      <c r="M27" s="21"/>
      <c r="N27" s="36"/>
      <c r="O27" s="21"/>
      <c r="P27" s="21"/>
    </row>
    <row r="28" spans="2:16" ht="12.75">
      <c r="B28" s="35"/>
      <c r="C28" s="21" t="s">
        <v>15</v>
      </c>
      <c r="D28" s="21"/>
      <c r="E28" s="21"/>
      <c r="F28" s="21"/>
      <c r="G28" s="21"/>
      <c r="H28" s="21"/>
      <c r="I28" s="21"/>
      <c r="J28" s="21"/>
      <c r="K28" s="21"/>
      <c r="L28" s="21"/>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4" ref="G34:L34">SUM(G27:G33)</f>
        <v>2</v>
      </c>
      <c r="H34" s="21">
        <f t="shared" si="4"/>
        <v>2</v>
      </c>
      <c r="I34" s="21">
        <f t="shared" si="4"/>
        <v>2</v>
      </c>
      <c r="J34" s="21">
        <f t="shared" si="4"/>
        <v>152</v>
      </c>
      <c r="K34" s="21">
        <f t="shared" si="4"/>
        <v>2</v>
      </c>
      <c r="L34" s="21">
        <f t="shared" si="4"/>
        <v>2</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5" ref="G36:L36">G24-G34</f>
        <v>-2</v>
      </c>
      <c r="H36" s="21">
        <f t="shared" si="5"/>
        <v>-2</v>
      </c>
      <c r="I36" s="21">
        <f t="shared" si="5"/>
        <v>-2</v>
      </c>
      <c r="J36" s="21">
        <f t="shared" si="5"/>
        <v>-152</v>
      </c>
      <c r="K36" s="21">
        <f t="shared" si="5"/>
        <v>-2</v>
      </c>
      <c r="L36" s="21">
        <f t="shared" si="5"/>
        <v>-2</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6" ref="G43:L43">+G36</f>
        <v>-2</v>
      </c>
      <c r="H43" s="21">
        <f t="shared" si="6"/>
        <v>-2</v>
      </c>
      <c r="I43" s="21">
        <f t="shared" si="6"/>
        <v>-2</v>
      </c>
      <c r="J43" s="21">
        <f t="shared" si="6"/>
        <v>-152</v>
      </c>
      <c r="K43" s="21">
        <f t="shared" si="6"/>
        <v>-2</v>
      </c>
      <c r="L43" s="21">
        <f t="shared" si="6"/>
        <v>-2</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7" ref="G45:L45">G39</f>
        <v>0</v>
      </c>
      <c r="H45" s="21">
        <f t="shared" si="7"/>
        <v>0</v>
      </c>
      <c r="I45" s="21">
        <f t="shared" si="7"/>
        <v>0</v>
      </c>
      <c r="J45" s="21">
        <f t="shared" si="7"/>
        <v>0</v>
      </c>
      <c r="K45" s="21">
        <f t="shared" si="7"/>
        <v>0</v>
      </c>
      <c r="L45" s="21">
        <f t="shared" si="7"/>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8" ref="F56:L56">SUM(F51:F55)</f>
        <v>1227</v>
      </c>
      <c r="G56" s="21">
        <f t="shared" si="8"/>
        <v>0</v>
      </c>
      <c r="H56" s="21">
        <f t="shared" si="8"/>
        <v>0</v>
      </c>
      <c r="I56" s="21">
        <f t="shared" si="8"/>
        <v>0</v>
      </c>
      <c r="J56" s="21">
        <f t="shared" si="8"/>
        <v>0</v>
      </c>
      <c r="K56" s="21">
        <f t="shared" si="8"/>
        <v>0</v>
      </c>
      <c r="L56" s="21">
        <f t="shared" si="8"/>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9" ref="G62:L63">F62</f>
        <v>600</v>
      </c>
      <c r="H62" s="21">
        <f t="shared" si="9"/>
        <v>600</v>
      </c>
      <c r="I62" s="21">
        <f t="shared" si="9"/>
        <v>600</v>
      </c>
      <c r="J62" s="21">
        <f t="shared" si="9"/>
        <v>600</v>
      </c>
      <c r="K62" s="21">
        <f t="shared" si="9"/>
        <v>600</v>
      </c>
      <c r="L62" s="21">
        <f t="shared" si="9"/>
        <v>600</v>
      </c>
      <c r="M62" s="21"/>
      <c r="N62" s="36"/>
      <c r="O62" s="21"/>
      <c r="P62" s="21"/>
    </row>
    <row r="63" spans="2:16" ht="12.75">
      <c r="B63" s="35"/>
      <c r="C63" s="21" t="s">
        <v>65</v>
      </c>
      <c r="D63" s="21"/>
      <c r="E63" s="21"/>
      <c r="F63" s="21">
        <v>120</v>
      </c>
      <c r="G63" s="21">
        <f t="shared" si="9"/>
        <v>120</v>
      </c>
      <c r="H63" s="21">
        <f t="shared" si="9"/>
        <v>120</v>
      </c>
      <c r="I63" s="21">
        <f t="shared" si="9"/>
        <v>120</v>
      </c>
      <c r="J63" s="21">
        <f t="shared" si="9"/>
        <v>120</v>
      </c>
      <c r="K63" s="21">
        <f t="shared" si="9"/>
        <v>120</v>
      </c>
      <c r="L63" s="21">
        <f t="shared" si="9"/>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0" ref="F65:L65">SUM(F59:F64)</f>
        <v>1227</v>
      </c>
      <c r="G65" s="21">
        <f t="shared" si="10"/>
        <v>720</v>
      </c>
      <c r="H65" s="21">
        <f t="shared" si="10"/>
        <v>720</v>
      </c>
      <c r="I65" s="21">
        <f t="shared" si="10"/>
        <v>720</v>
      </c>
      <c r="J65" s="21">
        <f t="shared" si="10"/>
        <v>720</v>
      </c>
      <c r="K65" s="21">
        <f t="shared" si="10"/>
        <v>720</v>
      </c>
      <c r="L65" s="21">
        <f t="shared" si="10"/>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11" ref="G72:L72">SUM(G68:G71)</f>
        <v>0</v>
      </c>
      <c r="H72" s="21">
        <f t="shared" si="11"/>
        <v>0</v>
      </c>
      <c r="I72" s="21">
        <f t="shared" si="11"/>
        <v>0</v>
      </c>
      <c r="J72" s="21">
        <f t="shared" si="11"/>
        <v>0</v>
      </c>
      <c r="K72" s="21">
        <f t="shared" si="11"/>
        <v>0</v>
      </c>
      <c r="L72" s="21">
        <f t="shared" si="11"/>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12" ref="G76:L76">SUM(G72:G75)</f>
        <v>0</v>
      </c>
      <c r="H76" s="21">
        <f t="shared" si="12"/>
        <v>0</v>
      </c>
      <c r="I76" s="21">
        <f t="shared" si="12"/>
        <v>0</v>
      </c>
      <c r="J76" s="21">
        <f t="shared" si="12"/>
        <v>0</v>
      </c>
      <c r="K76" s="21">
        <f t="shared" si="12"/>
        <v>0</v>
      </c>
      <c r="L76" s="21">
        <f t="shared" si="12"/>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13" ref="G78:L78">SUM(G76:G77)</f>
        <v>0</v>
      </c>
      <c r="H78" s="21">
        <f t="shared" si="13"/>
        <v>0</v>
      </c>
      <c r="I78" s="21">
        <f t="shared" si="13"/>
        <v>0</v>
      </c>
      <c r="J78" s="21">
        <f t="shared" si="13"/>
        <v>0</v>
      </c>
      <c r="K78" s="21">
        <f t="shared" si="13"/>
        <v>0</v>
      </c>
      <c r="L78" s="21">
        <f t="shared" si="13"/>
        <v>0</v>
      </c>
      <c r="M78" s="21"/>
      <c r="N78" s="36"/>
      <c r="O78" s="21"/>
      <c r="P78" s="21"/>
    </row>
    <row r="79" spans="2:16" ht="15">
      <c r="B79" s="35"/>
      <c r="C79" s="23" t="s">
        <v>76</v>
      </c>
      <c r="D79" s="21"/>
      <c r="E79" s="21"/>
      <c r="F79" s="21"/>
      <c r="G79" s="23">
        <f aca="true" t="shared" si="14" ref="G79:L79">-G31</f>
        <v>-2</v>
      </c>
      <c r="H79" s="23">
        <f t="shared" si="14"/>
        <v>-2</v>
      </c>
      <c r="I79" s="23">
        <f t="shared" si="14"/>
        <v>-2</v>
      </c>
      <c r="J79" s="23">
        <f t="shared" si="14"/>
        <v>-2</v>
      </c>
      <c r="K79" s="23">
        <f t="shared" si="14"/>
        <v>-2</v>
      </c>
      <c r="L79" s="23">
        <f t="shared" si="14"/>
        <v>-2</v>
      </c>
      <c r="M79" s="23"/>
      <c r="N79" s="40"/>
      <c r="O79" s="23"/>
      <c r="P79" s="21"/>
    </row>
    <row r="80" spans="2:16" ht="12.75">
      <c r="B80" s="35"/>
      <c r="C80" s="21" t="s">
        <v>66</v>
      </c>
      <c r="D80" s="21"/>
      <c r="E80" s="21"/>
      <c r="F80" s="21"/>
      <c r="G80" s="21">
        <f aca="true" t="shared" si="15" ref="G80:L80">SUM(G78:G79)</f>
        <v>-2</v>
      </c>
      <c r="H80" s="21">
        <f t="shared" si="15"/>
        <v>-2</v>
      </c>
      <c r="I80" s="21">
        <f t="shared" si="15"/>
        <v>-2</v>
      </c>
      <c r="J80" s="21">
        <f t="shared" si="15"/>
        <v>-2</v>
      </c>
      <c r="K80" s="21">
        <f t="shared" si="15"/>
        <v>-2</v>
      </c>
      <c r="L80" s="21">
        <f t="shared" si="15"/>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Q82"/>
  <sheetViews>
    <sheetView workbookViewId="0" topLeftCell="A1">
      <selection activeCell="G15" sqref="G15"/>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c r="H15" s="21"/>
      <c r="I15" s="21"/>
      <c r="J15" s="21"/>
      <c r="K15" s="21"/>
      <c r="L15" s="21"/>
      <c r="M15" s="21"/>
      <c r="N15" s="36"/>
      <c r="O15" s="21"/>
      <c r="P15" s="21"/>
    </row>
    <row r="16" spans="2:16" ht="12.75">
      <c r="B16" s="35"/>
      <c r="C16" s="21" t="s">
        <v>39</v>
      </c>
      <c r="D16" s="21"/>
      <c r="E16" s="21"/>
      <c r="F16" s="21">
        <f>Inputs!$M$7*G5</f>
        <v>62.5</v>
      </c>
      <c r="G16" s="21"/>
      <c r="H16" s="21"/>
      <c r="I16" s="21"/>
      <c r="J16" s="21"/>
      <c r="K16" s="21"/>
      <c r="L16" s="21"/>
      <c r="M16" s="21"/>
      <c r="N16" s="36"/>
      <c r="O16" s="21"/>
      <c r="P16" s="21"/>
    </row>
    <row r="17" spans="2:17" ht="15">
      <c r="B17" s="35"/>
      <c r="C17" s="21" t="s">
        <v>40</v>
      </c>
      <c r="D17" s="21"/>
      <c r="E17" s="21"/>
      <c r="F17" s="23">
        <f>Inputs!$M$8*H5</f>
        <v>82.25</v>
      </c>
      <c r="G17" s="23"/>
      <c r="H17" s="23"/>
      <c r="I17" s="23"/>
      <c r="J17" s="23"/>
      <c r="K17" s="23"/>
      <c r="L17" s="23"/>
      <c r="M17" s="23"/>
      <c r="N17" s="40"/>
      <c r="O17" s="23"/>
      <c r="P17" s="23"/>
      <c r="Q17" s="3"/>
    </row>
    <row r="18" spans="2:16" ht="12.75">
      <c r="B18" s="35"/>
      <c r="C18" s="21" t="s">
        <v>41</v>
      </c>
      <c r="D18" s="21"/>
      <c r="E18" s="21"/>
      <c r="F18" s="21">
        <f>SUM(F15:F17)</f>
        <v>156.75</v>
      </c>
      <c r="G18" s="21">
        <f aca="true" t="shared" si="5" ref="G18:L18">SUM(G15:G17)</f>
        <v>0</v>
      </c>
      <c r="H18" s="21">
        <f t="shared" si="5"/>
        <v>0</v>
      </c>
      <c r="I18" s="21">
        <f t="shared" si="5"/>
        <v>0</v>
      </c>
      <c r="J18" s="21">
        <f t="shared" si="5"/>
        <v>0</v>
      </c>
      <c r="K18" s="21">
        <f t="shared" si="5"/>
        <v>0</v>
      </c>
      <c r="L18" s="21">
        <f t="shared" si="5"/>
        <v>0</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6" ref="G22:L22">G12</f>
        <v>127.4</v>
      </c>
      <c r="H22" s="21">
        <f t="shared" si="6"/>
        <v>175.1</v>
      </c>
      <c r="I22" s="21">
        <f t="shared" si="6"/>
        <v>224.25</v>
      </c>
      <c r="J22" s="21">
        <f t="shared" si="6"/>
        <v>212.25</v>
      </c>
      <c r="K22" s="21">
        <f t="shared" si="6"/>
        <v>171.65</v>
      </c>
      <c r="L22" s="21">
        <f t="shared" si="6"/>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7" ref="G24:L24">SUM(G22:G23)</f>
        <v>127.4</v>
      </c>
      <c r="H24" s="21">
        <f t="shared" si="7"/>
        <v>175.1</v>
      </c>
      <c r="I24" s="21">
        <f t="shared" si="7"/>
        <v>224.25</v>
      </c>
      <c r="J24" s="21">
        <f t="shared" si="7"/>
        <v>212.25</v>
      </c>
      <c r="K24" s="21">
        <f t="shared" si="7"/>
        <v>171.65</v>
      </c>
      <c r="L24" s="21">
        <f t="shared" si="7"/>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c r="H27" s="21"/>
      <c r="I27" s="21"/>
      <c r="J27" s="21"/>
      <c r="K27" s="21"/>
      <c r="L27" s="21"/>
      <c r="M27" s="21"/>
      <c r="N27" s="36"/>
      <c r="O27" s="21"/>
      <c r="P27" s="21"/>
    </row>
    <row r="28" spans="2:16" ht="12.75">
      <c r="B28" s="35"/>
      <c r="C28" s="21" t="s">
        <v>15</v>
      </c>
      <c r="D28" s="21"/>
      <c r="E28" s="21"/>
      <c r="F28" s="21"/>
      <c r="G28" s="21"/>
      <c r="H28" s="21"/>
      <c r="I28" s="21"/>
      <c r="J28" s="21"/>
      <c r="K28" s="21"/>
      <c r="L28" s="21"/>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8" ref="G34:L34">SUM(G27:G33)</f>
        <v>2</v>
      </c>
      <c r="H34" s="21">
        <f t="shared" si="8"/>
        <v>2</v>
      </c>
      <c r="I34" s="21">
        <f t="shared" si="8"/>
        <v>2</v>
      </c>
      <c r="J34" s="21">
        <f t="shared" si="8"/>
        <v>152</v>
      </c>
      <c r="K34" s="21">
        <f t="shared" si="8"/>
        <v>2</v>
      </c>
      <c r="L34" s="21">
        <f t="shared" si="8"/>
        <v>2</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9" ref="G36:L36">G24-G34</f>
        <v>125.4</v>
      </c>
      <c r="H36" s="21">
        <f t="shared" si="9"/>
        <v>173.1</v>
      </c>
      <c r="I36" s="21">
        <f t="shared" si="9"/>
        <v>222.25</v>
      </c>
      <c r="J36" s="21">
        <f t="shared" si="9"/>
        <v>60.25</v>
      </c>
      <c r="K36" s="21">
        <f t="shared" si="9"/>
        <v>169.65</v>
      </c>
      <c r="L36" s="21">
        <f t="shared" si="9"/>
        <v>137.6</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0" ref="G43:L43">+G36</f>
        <v>125.4</v>
      </c>
      <c r="H43" s="21">
        <f t="shared" si="10"/>
        <v>173.1</v>
      </c>
      <c r="I43" s="21">
        <f t="shared" si="10"/>
        <v>222.25</v>
      </c>
      <c r="J43" s="21">
        <f t="shared" si="10"/>
        <v>60.25</v>
      </c>
      <c r="K43" s="21">
        <f t="shared" si="10"/>
        <v>169.65</v>
      </c>
      <c r="L43" s="21">
        <f t="shared" si="10"/>
        <v>137.6</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1" ref="G45:L45">G39</f>
        <v>0</v>
      </c>
      <c r="H45" s="21">
        <f t="shared" si="11"/>
        <v>0</v>
      </c>
      <c r="I45" s="21">
        <f t="shared" si="11"/>
        <v>0</v>
      </c>
      <c r="J45" s="21">
        <f t="shared" si="11"/>
        <v>0</v>
      </c>
      <c r="K45" s="21">
        <f t="shared" si="11"/>
        <v>0</v>
      </c>
      <c r="L45" s="21">
        <f t="shared" si="11"/>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2" ref="F56:L56">SUM(F51:F55)</f>
        <v>1227</v>
      </c>
      <c r="G56" s="21">
        <f t="shared" si="12"/>
        <v>0</v>
      </c>
      <c r="H56" s="21">
        <f t="shared" si="12"/>
        <v>0</v>
      </c>
      <c r="I56" s="21">
        <f t="shared" si="12"/>
        <v>0</v>
      </c>
      <c r="J56" s="21">
        <f t="shared" si="12"/>
        <v>0</v>
      </c>
      <c r="K56" s="21">
        <f t="shared" si="12"/>
        <v>0</v>
      </c>
      <c r="L56" s="21">
        <f t="shared" si="12"/>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3" ref="G62:L63">F62</f>
        <v>600</v>
      </c>
      <c r="H62" s="21">
        <f t="shared" si="13"/>
        <v>600</v>
      </c>
      <c r="I62" s="21">
        <f t="shared" si="13"/>
        <v>600</v>
      </c>
      <c r="J62" s="21">
        <f t="shared" si="13"/>
        <v>600</v>
      </c>
      <c r="K62" s="21">
        <f t="shared" si="13"/>
        <v>600</v>
      </c>
      <c r="L62" s="21">
        <f t="shared" si="13"/>
        <v>600</v>
      </c>
      <c r="M62" s="21"/>
      <c r="N62" s="36"/>
      <c r="O62" s="21"/>
      <c r="P62" s="21"/>
    </row>
    <row r="63" spans="2:16" ht="12.75">
      <c r="B63" s="35"/>
      <c r="C63" s="21" t="s">
        <v>65</v>
      </c>
      <c r="D63" s="21"/>
      <c r="E63" s="21"/>
      <c r="F63" s="21">
        <v>120</v>
      </c>
      <c r="G63" s="21">
        <f t="shared" si="13"/>
        <v>120</v>
      </c>
      <c r="H63" s="21">
        <f t="shared" si="13"/>
        <v>120</v>
      </c>
      <c r="I63" s="21">
        <f t="shared" si="13"/>
        <v>120</v>
      </c>
      <c r="J63" s="21">
        <f t="shared" si="13"/>
        <v>120</v>
      </c>
      <c r="K63" s="21">
        <f t="shared" si="13"/>
        <v>120</v>
      </c>
      <c r="L63" s="21">
        <f t="shared" si="13"/>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4" ref="F65:L65">SUM(F59:F64)</f>
        <v>1227</v>
      </c>
      <c r="G65" s="21">
        <f t="shared" si="14"/>
        <v>720</v>
      </c>
      <c r="H65" s="21">
        <f t="shared" si="14"/>
        <v>720</v>
      </c>
      <c r="I65" s="21">
        <f t="shared" si="14"/>
        <v>720</v>
      </c>
      <c r="J65" s="21">
        <f t="shared" si="14"/>
        <v>720</v>
      </c>
      <c r="K65" s="21">
        <f t="shared" si="14"/>
        <v>720</v>
      </c>
      <c r="L65" s="21">
        <f t="shared" si="14"/>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15" ref="G72:L72">SUM(G68:G71)</f>
        <v>0</v>
      </c>
      <c r="H72" s="21">
        <f t="shared" si="15"/>
        <v>0</v>
      </c>
      <c r="I72" s="21">
        <f t="shared" si="15"/>
        <v>0</v>
      </c>
      <c r="J72" s="21">
        <f t="shared" si="15"/>
        <v>0</v>
      </c>
      <c r="K72" s="21">
        <f t="shared" si="15"/>
        <v>0</v>
      </c>
      <c r="L72" s="21">
        <f t="shared" si="15"/>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16" ref="G76:L76">SUM(G72:G75)</f>
        <v>0</v>
      </c>
      <c r="H76" s="21">
        <f t="shared" si="16"/>
        <v>0</v>
      </c>
      <c r="I76" s="21">
        <f t="shared" si="16"/>
        <v>0</v>
      </c>
      <c r="J76" s="21">
        <f t="shared" si="16"/>
        <v>0</v>
      </c>
      <c r="K76" s="21">
        <f t="shared" si="16"/>
        <v>0</v>
      </c>
      <c r="L76" s="21">
        <f t="shared" si="16"/>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17" ref="G78:L78">SUM(G76:G77)</f>
        <v>0</v>
      </c>
      <c r="H78" s="21">
        <f t="shared" si="17"/>
        <v>0</v>
      </c>
      <c r="I78" s="21">
        <f t="shared" si="17"/>
        <v>0</v>
      </c>
      <c r="J78" s="21">
        <f t="shared" si="17"/>
        <v>0</v>
      </c>
      <c r="K78" s="21">
        <f t="shared" si="17"/>
        <v>0</v>
      </c>
      <c r="L78" s="21">
        <f t="shared" si="17"/>
        <v>0</v>
      </c>
      <c r="M78" s="21"/>
      <c r="N78" s="36"/>
      <c r="O78" s="21"/>
      <c r="P78" s="21"/>
    </row>
    <row r="79" spans="2:16" ht="15">
      <c r="B79" s="35"/>
      <c r="C79" s="23" t="s">
        <v>76</v>
      </c>
      <c r="D79" s="21"/>
      <c r="E79" s="21"/>
      <c r="F79" s="21"/>
      <c r="G79" s="23">
        <f aca="true" t="shared" si="18" ref="G79:L79">-G31</f>
        <v>-2</v>
      </c>
      <c r="H79" s="23">
        <f t="shared" si="18"/>
        <v>-2</v>
      </c>
      <c r="I79" s="23">
        <f t="shared" si="18"/>
        <v>-2</v>
      </c>
      <c r="J79" s="23">
        <f t="shared" si="18"/>
        <v>-2</v>
      </c>
      <c r="K79" s="23">
        <f t="shared" si="18"/>
        <v>-2</v>
      </c>
      <c r="L79" s="23">
        <f t="shared" si="18"/>
        <v>-2</v>
      </c>
      <c r="M79" s="23"/>
      <c r="N79" s="40"/>
      <c r="O79" s="23"/>
      <c r="P79" s="21"/>
    </row>
    <row r="80" spans="2:16" ht="12.75">
      <c r="B80" s="35"/>
      <c r="C80" s="21" t="s">
        <v>66</v>
      </c>
      <c r="D80" s="21"/>
      <c r="E80" s="21"/>
      <c r="F80" s="21"/>
      <c r="G80" s="21">
        <f aca="true" t="shared" si="19" ref="G80:L80">SUM(G78:G79)</f>
        <v>-2</v>
      </c>
      <c r="H80" s="21">
        <f t="shared" si="19"/>
        <v>-2</v>
      </c>
      <c r="I80" s="21">
        <f t="shared" si="19"/>
        <v>-2</v>
      </c>
      <c r="J80" s="21">
        <f t="shared" si="19"/>
        <v>-2</v>
      </c>
      <c r="K80" s="21">
        <f t="shared" si="19"/>
        <v>-2</v>
      </c>
      <c r="L80" s="21">
        <f t="shared" si="19"/>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B1:Q82"/>
  <sheetViews>
    <sheetView workbookViewId="0" topLeftCell="A9">
      <selection activeCell="G27" sqref="G27"/>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c r="H27" s="21"/>
      <c r="I27" s="21"/>
      <c r="J27" s="21"/>
      <c r="K27" s="21"/>
      <c r="L27" s="21"/>
      <c r="M27" s="21"/>
      <c r="N27" s="36"/>
      <c r="O27" s="21"/>
      <c r="P27" s="21"/>
    </row>
    <row r="28" spans="2:16" ht="12.75">
      <c r="B28" s="35"/>
      <c r="C28" s="21" t="s">
        <v>15</v>
      </c>
      <c r="D28" s="21"/>
      <c r="E28" s="21"/>
      <c r="F28" s="21"/>
      <c r="G28" s="21"/>
      <c r="H28" s="21"/>
      <c r="I28" s="21"/>
      <c r="J28" s="21"/>
      <c r="K28" s="21"/>
      <c r="L28" s="21"/>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1" ref="G34:L34">SUM(G27:G33)</f>
        <v>2</v>
      </c>
      <c r="H34" s="21">
        <f t="shared" si="11"/>
        <v>2</v>
      </c>
      <c r="I34" s="21">
        <f t="shared" si="11"/>
        <v>2</v>
      </c>
      <c r="J34" s="21">
        <f t="shared" si="11"/>
        <v>152</v>
      </c>
      <c r="K34" s="21">
        <f t="shared" si="11"/>
        <v>2</v>
      </c>
      <c r="L34" s="21">
        <f t="shared" si="11"/>
        <v>2</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2" ref="G36:L36">G24-G34</f>
        <v>125.4</v>
      </c>
      <c r="H36" s="21">
        <f t="shared" si="12"/>
        <v>173.1</v>
      </c>
      <c r="I36" s="21">
        <f t="shared" si="12"/>
        <v>222.25</v>
      </c>
      <c r="J36" s="21">
        <f t="shared" si="12"/>
        <v>60.25</v>
      </c>
      <c r="K36" s="21">
        <f t="shared" si="12"/>
        <v>169.65</v>
      </c>
      <c r="L36" s="21">
        <f t="shared" si="12"/>
        <v>137.6</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3" ref="G43:L43">+G36</f>
        <v>125.4</v>
      </c>
      <c r="H43" s="21">
        <f t="shared" si="13"/>
        <v>173.1</v>
      </c>
      <c r="I43" s="21">
        <f t="shared" si="13"/>
        <v>222.25</v>
      </c>
      <c r="J43" s="21">
        <f t="shared" si="13"/>
        <v>60.25</v>
      </c>
      <c r="K43" s="21">
        <f t="shared" si="13"/>
        <v>169.65</v>
      </c>
      <c r="L43" s="21">
        <f t="shared" si="13"/>
        <v>137.6</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4" ref="G45:L45">G39</f>
        <v>0</v>
      </c>
      <c r="H45" s="21">
        <f t="shared" si="14"/>
        <v>0</v>
      </c>
      <c r="I45" s="21">
        <f t="shared" si="14"/>
        <v>0</v>
      </c>
      <c r="J45" s="21">
        <f t="shared" si="14"/>
        <v>0</v>
      </c>
      <c r="K45" s="21">
        <f t="shared" si="14"/>
        <v>0</v>
      </c>
      <c r="L45" s="21">
        <f t="shared" si="14"/>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5" ref="F56:L56">SUM(F51:F55)</f>
        <v>1227</v>
      </c>
      <c r="G56" s="21">
        <f t="shared" si="15"/>
        <v>0</v>
      </c>
      <c r="H56" s="21">
        <f t="shared" si="15"/>
        <v>0</v>
      </c>
      <c r="I56" s="21">
        <f t="shared" si="15"/>
        <v>0</v>
      </c>
      <c r="J56" s="21">
        <f t="shared" si="15"/>
        <v>0</v>
      </c>
      <c r="K56" s="21">
        <f t="shared" si="15"/>
        <v>0</v>
      </c>
      <c r="L56" s="21">
        <f t="shared" si="15"/>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6" ref="G62:L63">F62</f>
        <v>600</v>
      </c>
      <c r="H62" s="21">
        <f t="shared" si="16"/>
        <v>600</v>
      </c>
      <c r="I62" s="21">
        <f t="shared" si="16"/>
        <v>600</v>
      </c>
      <c r="J62" s="21">
        <f t="shared" si="16"/>
        <v>600</v>
      </c>
      <c r="K62" s="21">
        <f t="shared" si="16"/>
        <v>600</v>
      </c>
      <c r="L62" s="21">
        <f t="shared" si="16"/>
        <v>600</v>
      </c>
      <c r="M62" s="21"/>
      <c r="N62" s="36"/>
      <c r="O62" s="21"/>
      <c r="P62" s="21"/>
    </row>
    <row r="63" spans="2:16" ht="12.75">
      <c r="B63" s="35"/>
      <c r="C63" s="21" t="s">
        <v>65</v>
      </c>
      <c r="D63" s="21"/>
      <c r="E63" s="21"/>
      <c r="F63" s="21">
        <v>120</v>
      </c>
      <c r="G63" s="21">
        <f t="shared" si="16"/>
        <v>120</v>
      </c>
      <c r="H63" s="21">
        <f t="shared" si="16"/>
        <v>120</v>
      </c>
      <c r="I63" s="21">
        <f t="shared" si="16"/>
        <v>120</v>
      </c>
      <c r="J63" s="21">
        <f t="shared" si="16"/>
        <v>120</v>
      </c>
      <c r="K63" s="21">
        <f t="shared" si="16"/>
        <v>120</v>
      </c>
      <c r="L63" s="21">
        <f t="shared" si="16"/>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7" ref="F65:L65">SUM(F59:F64)</f>
        <v>1227</v>
      </c>
      <c r="G65" s="21">
        <f t="shared" si="17"/>
        <v>720</v>
      </c>
      <c r="H65" s="21">
        <f t="shared" si="17"/>
        <v>720</v>
      </c>
      <c r="I65" s="21">
        <f t="shared" si="17"/>
        <v>720</v>
      </c>
      <c r="J65" s="21">
        <f t="shared" si="17"/>
        <v>720</v>
      </c>
      <c r="K65" s="21">
        <f t="shared" si="17"/>
        <v>720</v>
      </c>
      <c r="L65" s="21">
        <f t="shared" si="17"/>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18" ref="G72:L72">SUM(G68:G71)</f>
        <v>0</v>
      </c>
      <c r="H72" s="21">
        <f t="shared" si="18"/>
        <v>0</v>
      </c>
      <c r="I72" s="21">
        <f t="shared" si="18"/>
        <v>0</v>
      </c>
      <c r="J72" s="21">
        <f t="shared" si="18"/>
        <v>0</v>
      </c>
      <c r="K72" s="21">
        <f t="shared" si="18"/>
        <v>0</v>
      </c>
      <c r="L72" s="21">
        <f t="shared" si="18"/>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19" ref="G76:L76">SUM(G72:G75)</f>
        <v>0</v>
      </c>
      <c r="H76" s="21">
        <f t="shared" si="19"/>
        <v>0</v>
      </c>
      <c r="I76" s="21">
        <f t="shared" si="19"/>
        <v>0</v>
      </c>
      <c r="J76" s="21">
        <f t="shared" si="19"/>
        <v>0</v>
      </c>
      <c r="K76" s="21">
        <f t="shared" si="19"/>
        <v>0</v>
      </c>
      <c r="L76" s="21">
        <f t="shared" si="19"/>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0" ref="G78:L78">SUM(G76:G77)</f>
        <v>0</v>
      </c>
      <c r="H78" s="21">
        <f t="shared" si="20"/>
        <v>0</v>
      </c>
      <c r="I78" s="21">
        <f t="shared" si="20"/>
        <v>0</v>
      </c>
      <c r="J78" s="21">
        <f t="shared" si="20"/>
        <v>0</v>
      </c>
      <c r="K78" s="21">
        <f t="shared" si="20"/>
        <v>0</v>
      </c>
      <c r="L78" s="21">
        <f t="shared" si="20"/>
        <v>0</v>
      </c>
      <c r="M78" s="21"/>
      <c r="N78" s="36"/>
      <c r="O78" s="21"/>
      <c r="P78" s="21"/>
    </row>
    <row r="79" spans="2:16" ht="15">
      <c r="B79" s="35"/>
      <c r="C79" s="23" t="s">
        <v>76</v>
      </c>
      <c r="D79" s="21"/>
      <c r="E79" s="21"/>
      <c r="F79" s="21"/>
      <c r="G79" s="23">
        <f aca="true" t="shared" si="21" ref="G79:L79">-G31</f>
        <v>-2</v>
      </c>
      <c r="H79" s="23">
        <f t="shared" si="21"/>
        <v>-2</v>
      </c>
      <c r="I79" s="23">
        <f t="shared" si="21"/>
        <v>-2</v>
      </c>
      <c r="J79" s="23">
        <f t="shared" si="21"/>
        <v>-2</v>
      </c>
      <c r="K79" s="23">
        <f t="shared" si="21"/>
        <v>-2</v>
      </c>
      <c r="L79" s="23">
        <f t="shared" si="21"/>
        <v>-2</v>
      </c>
      <c r="M79" s="23"/>
      <c r="N79" s="40"/>
      <c r="O79" s="23"/>
      <c r="P79" s="21"/>
    </row>
    <row r="80" spans="2:16" ht="12.75">
      <c r="B80" s="35"/>
      <c r="C80" s="21" t="s">
        <v>66</v>
      </c>
      <c r="D80" s="21"/>
      <c r="E80" s="21"/>
      <c r="F80" s="21"/>
      <c r="G80" s="21">
        <f aca="true" t="shared" si="22" ref="G80:L80">SUM(G78:G79)</f>
        <v>-2</v>
      </c>
      <c r="H80" s="21">
        <f t="shared" si="22"/>
        <v>-2</v>
      </c>
      <c r="I80" s="21">
        <f t="shared" si="22"/>
        <v>-2</v>
      </c>
      <c r="J80" s="21">
        <f t="shared" si="22"/>
        <v>-2</v>
      </c>
      <c r="K80" s="21">
        <f t="shared" si="22"/>
        <v>-2</v>
      </c>
      <c r="L80" s="21">
        <f t="shared" si="22"/>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B1:Q82"/>
  <sheetViews>
    <sheetView workbookViewId="0" topLeftCell="A16">
      <selection activeCell="G28" sqref="G28"/>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F18</f>
        <v>156.75</v>
      </c>
      <c r="H27" s="21"/>
      <c r="I27" s="21"/>
      <c r="J27" s="21"/>
      <c r="K27" s="21"/>
      <c r="L27" s="21"/>
      <c r="M27" s="21"/>
      <c r="N27" s="36"/>
      <c r="O27" s="21"/>
      <c r="P27" s="21"/>
    </row>
    <row r="28" spans="2:16" ht="12.75">
      <c r="B28" s="35"/>
      <c r="C28" s="21" t="s">
        <v>15</v>
      </c>
      <c r="D28" s="21"/>
      <c r="E28" s="21"/>
      <c r="F28" s="21"/>
      <c r="G28" s="21"/>
      <c r="H28" s="21"/>
      <c r="I28" s="21"/>
      <c r="J28" s="21"/>
      <c r="K28" s="21"/>
      <c r="L28" s="21"/>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1" ref="G34:L34">SUM(G27:G33)</f>
        <v>158.75</v>
      </c>
      <c r="H34" s="21">
        <f t="shared" si="11"/>
        <v>2</v>
      </c>
      <c r="I34" s="21">
        <f t="shared" si="11"/>
        <v>2</v>
      </c>
      <c r="J34" s="21">
        <f t="shared" si="11"/>
        <v>152</v>
      </c>
      <c r="K34" s="21">
        <f t="shared" si="11"/>
        <v>2</v>
      </c>
      <c r="L34" s="21">
        <f t="shared" si="11"/>
        <v>2</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2" ref="G36:L36">G24-G34</f>
        <v>-31.349999999999994</v>
      </c>
      <c r="H36" s="21">
        <f t="shared" si="12"/>
        <v>173.1</v>
      </c>
      <c r="I36" s="21">
        <f t="shared" si="12"/>
        <v>222.25</v>
      </c>
      <c r="J36" s="21">
        <f t="shared" si="12"/>
        <v>60.25</v>
      </c>
      <c r="K36" s="21">
        <f t="shared" si="12"/>
        <v>169.65</v>
      </c>
      <c r="L36" s="21">
        <f t="shared" si="12"/>
        <v>137.6</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3" ref="G43:L43">+G36</f>
        <v>-31.349999999999994</v>
      </c>
      <c r="H43" s="21">
        <f t="shared" si="13"/>
        <v>173.1</v>
      </c>
      <c r="I43" s="21">
        <f t="shared" si="13"/>
        <v>222.25</v>
      </c>
      <c r="J43" s="21">
        <f t="shared" si="13"/>
        <v>60.25</v>
      </c>
      <c r="K43" s="21">
        <f t="shared" si="13"/>
        <v>169.65</v>
      </c>
      <c r="L43" s="21">
        <f t="shared" si="13"/>
        <v>137.6</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4" ref="G45:L45">G39</f>
        <v>0</v>
      </c>
      <c r="H45" s="21">
        <f t="shared" si="14"/>
        <v>0</v>
      </c>
      <c r="I45" s="21">
        <f t="shared" si="14"/>
        <v>0</v>
      </c>
      <c r="J45" s="21">
        <f t="shared" si="14"/>
        <v>0</v>
      </c>
      <c r="K45" s="21">
        <f t="shared" si="14"/>
        <v>0</v>
      </c>
      <c r="L45" s="21">
        <f t="shared" si="14"/>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5" ref="F56:L56">SUM(F51:F55)</f>
        <v>1227</v>
      </c>
      <c r="G56" s="21">
        <f t="shared" si="15"/>
        <v>0</v>
      </c>
      <c r="H56" s="21">
        <f t="shared" si="15"/>
        <v>0</v>
      </c>
      <c r="I56" s="21">
        <f t="shared" si="15"/>
        <v>0</v>
      </c>
      <c r="J56" s="21">
        <f t="shared" si="15"/>
        <v>0</v>
      </c>
      <c r="K56" s="21">
        <f t="shared" si="15"/>
        <v>0</v>
      </c>
      <c r="L56" s="21">
        <f t="shared" si="15"/>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6" ref="G62:L63">F62</f>
        <v>600</v>
      </c>
      <c r="H62" s="21">
        <f t="shared" si="16"/>
        <v>600</v>
      </c>
      <c r="I62" s="21">
        <f t="shared" si="16"/>
        <v>600</v>
      </c>
      <c r="J62" s="21">
        <f t="shared" si="16"/>
        <v>600</v>
      </c>
      <c r="K62" s="21">
        <f t="shared" si="16"/>
        <v>600</v>
      </c>
      <c r="L62" s="21">
        <f t="shared" si="16"/>
        <v>600</v>
      </c>
      <c r="M62" s="21"/>
      <c r="N62" s="36"/>
      <c r="O62" s="21"/>
      <c r="P62" s="21"/>
    </row>
    <row r="63" spans="2:16" ht="12.75">
      <c r="B63" s="35"/>
      <c r="C63" s="21" t="s">
        <v>65</v>
      </c>
      <c r="D63" s="21"/>
      <c r="E63" s="21"/>
      <c r="F63" s="21">
        <v>120</v>
      </c>
      <c r="G63" s="21">
        <f t="shared" si="16"/>
        <v>120</v>
      </c>
      <c r="H63" s="21">
        <f t="shared" si="16"/>
        <v>120</v>
      </c>
      <c r="I63" s="21">
        <f t="shared" si="16"/>
        <v>120</v>
      </c>
      <c r="J63" s="21">
        <f t="shared" si="16"/>
        <v>120</v>
      </c>
      <c r="K63" s="21">
        <f t="shared" si="16"/>
        <v>120</v>
      </c>
      <c r="L63" s="21">
        <f t="shared" si="16"/>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7" ref="F65:L65">SUM(F59:F64)</f>
        <v>1227</v>
      </c>
      <c r="G65" s="21">
        <f t="shared" si="17"/>
        <v>720</v>
      </c>
      <c r="H65" s="21">
        <f t="shared" si="17"/>
        <v>720</v>
      </c>
      <c r="I65" s="21">
        <f t="shared" si="17"/>
        <v>720</v>
      </c>
      <c r="J65" s="21">
        <f t="shared" si="17"/>
        <v>720</v>
      </c>
      <c r="K65" s="21">
        <f t="shared" si="17"/>
        <v>720</v>
      </c>
      <c r="L65" s="21">
        <f t="shared" si="17"/>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18" ref="G72:L72">SUM(G68:G71)</f>
        <v>0</v>
      </c>
      <c r="H72" s="21">
        <f t="shared" si="18"/>
        <v>0</v>
      </c>
      <c r="I72" s="21">
        <f t="shared" si="18"/>
        <v>0</v>
      </c>
      <c r="J72" s="21">
        <f t="shared" si="18"/>
        <v>0</v>
      </c>
      <c r="K72" s="21">
        <f t="shared" si="18"/>
        <v>0</v>
      </c>
      <c r="L72" s="21">
        <f t="shared" si="18"/>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19" ref="G76:L76">SUM(G72:G75)</f>
        <v>0</v>
      </c>
      <c r="H76" s="21">
        <f t="shared" si="19"/>
        <v>0</v>
      </c>
      <c r="I76" s="21">
        <f t="shared" si="19"/>
        <v>0</v>
      </c>
      <c r="J76" s="21">
        <f t="shared" si="19"/>
        <v>0</v>
      </c>
      <c r="K76" s="21">
        <f t="shared" si="19"/>
        <v>0</v>
      </c>
      <c r="L76" s="21">
        <f t="shared" si="19"/>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0" ref="G78:L78">SUM(G76:G77)</f>
        <v>0</v>
      </c>
      <c r="H78" s="21">
        <f t="shared" si="20"/>
        <v>0</v>
      </c>
      <c r="I78" s="21">
        <f t="shared" si="20"/>
        <v>0</v>
      </c>
      <c r="J78" s="21">
        <f t="shared" si="20"/>
        <v>0</v>
      </c>
      <c r="K78" s="21">
        <f t="shared" si="20"/>
        <v>0</v>
      </c>
      <c r="L78" s="21">
        <f t="shared" si="20"/>
        <v>0</v>
      </c>
      <c r="M78" s="21"/>
      <c r="N78" s="36"/>
      <c r="O78" s="21"/>
      <c r="P78" s="21"/>
    </row>
    <row r="79" spans="2:16" ht="15">
      <c r="B79" s="35"/>
      <c r="C79" s="23" t="s">
        <v>76</v>
      </c>
      <c r="D79" s="21"/>
      <c r="E79" s="21"/>
      <c r="F79" s="21"/>
      <c r="G79" s="23">
        <f aca="true" t="shared" si="21" ref="G79:L79">-G31</f>
        <v>-2</v>
      </c>
      <c r="H79" s="23">
        <f t="shared" si="21"/>
        <v>-2</v>
      </c>
      <c r="I79" s="23">
        <f t="shared" si="21"/>
        <v>-2</v>
      </c>
      <c r="J79" s="23">
        <f t="shared" si="21"/>
        <v>-2</v>
      </c>
      <c r="K79" s="23">
        <f t="shared" si="21"/>
        <v>-2</v>
      </c>
      <c r="L79" s="23">
        <f t="shared" si="21"/>
        <v>-2</v>
      </c>
      <c r="M79" s="23"/>
      <c r="N79" s="40"/>
      <c r="O79" s="23"/>
      <c r="P79" s="21"/>
    </row>
    <row r="80" spans="2:16" ht="12.75">
      <c r="B80" s="35"/>
      <c r="C80" s="21" t="s">
        <v>66</v>
      </c>
      <c r="D80" s="21"/>
      <c r="E80" s="21"/>
      <c r="F80" s="21"/>
      <c r="G80" s="21">
        <f aca="true" t="shared" si="22" ref="G80:L80">SUM(G78:G79)</f>
        <v>-2</v>
      </c>
      <c r="H80" s="21">
        <f t="shared" si="22"/>
        <v>-2</v>
      </c>
      <c r="I80" s="21">
        <f t="shared" si="22"/>
        <v>-2</v>
      </c>
      <c r="J80" s="21">
        <f t="shared" si="22"/>
        <v>-2</v>
      </c>
      <c r="K80" s="21">
        <f t="shared" si="22"/>
        <v>-2</v>
      </c>
      <c r="L80" s="21">
        <f t="shared" si="22"/>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1:Q82"/>
  <sheetViews>
    <sheetView workbookViewId="0" topLeftCell="A16">
      <selection activeCell="H27" sqref="H27"/>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F18</f>
        <v>156.75</v>
      </c>
      <c r="H27" s="21"/>
      <c r="I27" s="21"/>
      <c r="J27" s="21"/>
      <c r="K27" s="21"/>
      <c r="L27" s="21"/>
      <c r="M27" s="21"/>
      <c r="N27" s="36"/>
      <c r="O27" s="21"/>
      <c r="P27" s="21"/>
    </row>
    <row r="28" spans="2:16" ht="12.75">
      <c r="B28" s="35"/>
      <c r="C28" s="21" t="s">
        <v>15</v>
      </c>
      <c r="D28" s="21"/>
      <c r="E28" s="21"/>
      <c r="F28" s="21"/>
      <c r="G28" s="21">
        <f>G5*SWVariable+SWFixed/1000</f>
        <v>50</v>
      </c>
      <c r="H28" s="21"/>
      <c r="I28" s="21"/>
      <c r="J28" s="21"/>
      <c r="K28" s="21"/>
      <c r="L28" s="21"/>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1" ref="G34:L34">SUM(G27:G33)</f>
        <v>208.75</v>
      </c>
      <c r="H34" s="21">
        <f t="shared" si="11"/>
        <v>2</v>
      </c>
      <c r="I34" s="21">
        <f t="shared" si="11"/>
        <v>2</v>
      </c>
      <c r="J34" s="21">
        <f t="shared" si="11"/>
        <v>152</v>
      </c>
      <c r="K34" s="21">
        <f t="shared" si="11"/>
        <v>2</v>
      </c>
      <c r="L34" s="21">
        <f t="shared" si="11"/>
        <v>2</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2" ref="G36:L36">G24-G34</f>
        <v>-81.35</v>
      </c>
      <c r="H36" s="21">
        <f t="shared" si="12"/>
        <v>173.1</v>
      </c>
      <c r="I36" s="21">
        <f t="shared" si="12"/>
        <v>222.25</v>
      </c>
      <c r="J36" s="21">
        <f t="shared" si="12"/>
        <v>60.25</v>
      </c>
      <c r="K36" s="21">
        <f t="shared" si="12"/>
        <v>169.65</v>
      </c>
      <c r="L36" s="21">
        <f t="shared" si="12"/>
        <v>137.6</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3" ref="G43:L43">+G36</f>
        <v>-81.35</v>
      </c>
      <c r="H43" s="21">
        <f t="shared" si="13"/>
        <v>173.1</v>
      </c>
      <c r="I43" s="21">
        <f t="shared" si="13"/>
        <v>222.25</v>
      </c>
      <c r="J43" s="21">
        <f t="shared" si="13"/>
        <v>60.25</v>
      </c>
      <c r="K43" s="21">
        <f t="shared" si="13"/>
        <v>169.65</v>
      </c>
      <c r="L43" s="21">
        <f t="shared" si="13"/>
        <v>137.6</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4" ref="G45:L45">G39</f>
        <v>0</v>
      </c>
      <c r="H45" s="21">
        <f t="shared" si="14"/>
        <v>0</v>
      </c>
      <c r="I45" s="21">
        <f t="shared" si="14"/>
        <v>0</v>
      </c>
      <c r="J45" s="21">
        <f t="shared" si="14"/>
        <v>0</v>
      </c>
      <c r="K45" s="21">
        <f t="shared" si="14"/>
        <v>0</v>
      </c>
      <c r="L45" s="21">
        <f t="shared" si="14"/>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5" ref="F56:L56">SUM(F51:F55)</f>
        <v>1227</v>
      </c>
      <c r="G56" s="21">
        <f t="shared" si="15"/>
        <v>0</v>
      </c>
      <c r="H56" s="21">
        <f t="shared" si="15"/>
        <v>0</v>
      </c>
      <c r="I56" s="21">
        <f t="shared" si="15"/>
        <v>0</v>
      </c>
      <c r="J56" s="21">
        <f t="shared" si="15"/>
        <v>0</v>
      </c>
      <c r="K56" s="21">
        <f t="shared" si="15"/>
        <v>0</v>
      </c>
      <c r="L56" s="21">
        <f t="shared" si="15"/>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6" ref="G62:L63">F62</f>
        <v>600</v>
      </c>
      <c r="H62" s="21">
        <f t="shared" si="16"/>
        <v>600</v>
      </c>
      <c r="I62" s="21">
        <f t="shared" si="16"/>
        <v>600</v>
      </c>
      <c r="J62" s="21">
        <f t="shared" si="16"/>
        <v>600</v>
      </c>
      <c r="K62" s="21">
        <f t="shared" si="16"/>
        <v>600</v>
      </c>
      <c r="L62" s="21">
        <f t="shared" si="16"/>
        <v>600</v>
      </c>
      <c r="M62" s="21"/>
      <c r="N62" s="36"/>
      <c r="O62" s="21"/>
      <c r="P62" s="21"/>
    </row>
    <row r="63" spans="2:16" ht="12.75">
      <c r="B63" s="35"/>
      <c r="C63" s="21" t="s">
        <v>65</v>
      </c>
      <c r="D63" s="21"/>
      <c r="E63" s="21"/>
      <c r="F63" s="21">
        <v>120</v>
      </c>
      <c r="G63" s="21">
        <f t="shared" si="16"/>
        <v>120</v>
      </c>
      <c r="H63" s="21">
        <f t="shared" si="16"/>
        <v>120</v>
      </c>
      <c r="I63" s="21">
        <f t="shared" si="16"/>
        <v>120</v>
      </c>
      <c r="J63" s="21">
        <f t="shared" si="16"/>
        <v>120</v>
      </c>
      <c r="K63" s="21">
        <f t="shared" si="16"/>
        <v>120</v>
      </c>
      <c r="L63" s="21">
        <f t="shared" si="16"/>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7" ref="F65:L65">SUM(F59:F64)</f>
        <v>1227</v>
      </c>
      <c r="G65" s="21">
        <f t="shared" si="17"/>
        <v>720</v>
      </c>
      <c r="H65" s="21">
        <f t="shared" si="17"/>
        <v>720</v>
      </c>
      <c r="I65" s="21">
        <f t="shared" si="17"/>
        <v>720</v>
      </c>
      <c r="J65" s="21">
        <f t="shared" si="17"/>
        <v>720</v>
      </c>
      <c r="K65" s="21">
        <f t="shared" si="17"/>
        <v>720</v>
      </c>
      <c r="L65" s="21">
        <f t="shared" si="17"/>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18" ref="G72:L72">SUM(G68:G71)</f>
        <v>0</v>
      </c>
      <c r="H72" s="21">
        <f t="shared" si="18"/>
        <v>0</v>
      </c>
      <c r="I72" s="21">
        <f t="shared" si="18"/>
        <v>0</v>
      </c>
      <c r="J72" s="21">
        <f t="shared" si="18"/>
        <v>0</v>
      </c>
      <c r="K72" s="21">
        <f t="shared" si="18"/>
        <v>0</v>
      </c>
      <c r="L72" s="21">
        <f t="shared" si="18"/>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19" ref="G76:L76">SUM(G72:G75)</f>
        <v>0</v>
      </c>
      <c r="H76" s="21">
        <f t="shared" si="19"/>
        <v>0</v>
      </c>
      <c r="I76" s="21">
        <f t="shared" si="19"/>
        <v>0</v>
      </c>
      <c r="J76" s="21">
        <f t="shared" si="19"/>
        <v>0</v>
      </c>
      <c r="K76" s="21">
        <f t="shared" si="19"/>
        <v>0</v>
      </c>
      <c r="L76" s="21">
        <f t="shared" si="19"/>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0" ref="G78:L78">SUM(G76:G77)</f>
        <v>0</v>
      </c>
      <c r="H78" s="21">
        <f t="shared" si="20"/>
        <v>0</v>
      </c>
      <c r="I78" s="21">
        <f t="shared" si="20"/>
        <v>0</v>
      </c>
      <c r="J78" s="21">
        <f t="shared" si="20"/>
        <v>0</v>
      </c>
      <c r="K78" s="21">
        <f t="shared" si="20"/>
        <v>0</v>
      </c>
      <c r="L78" s="21">
        <f t="shared" si="20"/>
        <v>0</v>
      </c>
      <c r="M78" s="21"/>
      <c r="N78" s="36"/>
      <c r="O78" s="21"/>
      <c r="P78" s="21"/>
    </row>
    <row r="79" spans="2:16" ht="15">
      <c r="B79" s="35"/>
      <c r="C79" s="23" t="s">
        <v>76</v>
      </c>
      <c r="D79" s="21"/>
      <c r="E79" s="21"/>
      <c r="F79" s="21"/>
      <c r="G79" s="23">
        <f aca="true" t="shared" si="21" ref="G79:L79">-G31</f>
        <v>-2</v>
      </c>
      <c r="H79" s="23">
        <f t="shared" si="21"/>
        <v>-2</v>
      </c>
      <c r="I79" s="23">
        <f t="shared" si="21"/>
        <v>-2</v>
      </c>
      <c r="J79" s="23">
        <f t="shared" si="21"/>
        <v>-2</v>
      </c>
      <c r="K79" s="23">
        <f t="shared" si="21"/>
        <v>-2</v>
      </c>
      <c r="L79" s="23">
        <f t="shared" si="21"/>
        <v>-2</v>
      </c>
      <c r="M79" s="23"/>
      <c r="N79" s="40"/>
      <c r="O79" s="23"/>
      <c r="P79" s="21"/>
    </row>
    <row r="80" spans="2:16" ht="12.75">
      <c r="B80" s="35"/>
      <c r="C80" s="21" t="s">
        <v>66</v>
      </c>
      <c r="D80" s="21"/>
      <c r="E80" s="21"/>
      <c r="F80" s="21"/>
      <c r="G80" s="21">
        <f aca="true" t="shared" si="22" ref="G80:L80">SUM(G78:G79)</f>
        <v>-2</v>
      </c>
      <c r="H80" s="21">
        <f t="shared" si="22"/>
        <v>-2</v>
      </c>
      <c r="I80" s="21">
        <f t="shared" si="22"/>
        <v>-2</v>
      </c>
      <c r="J80" s="21">
        <f t="shared" si="22"/>
        <v>-2</v>
      </c>
      <c r="K80" s="21">
        <f t="shared" si="22"/>
        <v>-2</v>
      </c>
      <c r="L80" s="21">
        <f t="shared" si="22"/>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Q82"/>
  <sheetViews>
    <sheetView workbookViewId="0" topLeftCell="A17">
      <selection activeCell="G30" sqref="G30"/>
    </sheetView>
  </sheetViews>
  <sheetFormatPr defaultColWidth="9.140625" defaultRowHeight="12.75"/>
  <cols>
    <col min="1" max="1" width="2.57421875" style="1" customWidth="1"/>
    <col min="2" max="2" width="4.00390625" style="4" customWidth="1"/>
    <col min="3" max="3" width="20.8515625" style="1" customWidth="1"/>
    <col min="4" max="5" width="9.140625" style="1" customWidth="1"/>
    <col min="6" max="6" width="10.28125" style="1" customWidth="1"/>
    <col min="7" max="7" width="10.57421875" style="1" customWidth="1"/>
    <col min="8" max="9" width="10.140625" style="1" customWidth="1"/>
    <col min="10" max="10" width="10.00390625" style="1" customWidth="1"/>
    <col min="11" max="12" width="9.7109375" style="1" customWidth="1"/>
    <col min="13" max="16384" width="9.140625" style="1" customWidth="1"/>
  </cols>
  <sheetData>
    <row r="1" spans="15:16" ht="8.25" customHeight="1" thickBot="1">
      <c r="O1" s="21"/>
      <c r="P1" s="21"/>
    </row>
    <row r="2" spans="2:16" ht="33" customHeight="1">
      <c r="B2" s="52" t="s">
        <v>82</v>
      </c>
      <c r="C2" s="53"/>
      <c r="D2" s="53"/>
      <c r="E2" s="53"/>
      <c r="F2" s="53"/>
      <c r="G2" s="53"/>
      <c r="H2" s="53"/>
      <c r="I2" s="53"/>
      <c r="J2" s="53"/>
      <c r="K2" s="53"/>
      <c r="L2" s="53"/>
      <c r="M2" s="53"/>
      <c r="N2" s="54"/>
      <c r="O2" s="21"/>
      <c r="P2" s="21"/>
    </row>
    <row r="3" spans="2:16" ht="5.25" customHeight="1">
      <c r="B3" s="35"/>
      <c r="C3" s="21"/>
      <c r="D3" s="21"/>
      <c r="E3" s="21"/>
      <c r="F3" s="21"/>
      <c r="G3" s="21"/>
      <c r="H3" s="21"/>
      <c r="I3" s="21"/>
      <c r="J3" s="21"/>
      <c r="K3" s="21"/>
      <c r="L3" s="21"/>
      <c r="M3" s="21"/>
      <c r="N3" s="36"/>
      <c r="O3" s="21"/>
      <c r="P3" s="21"/>
    </row>
    <row r="4" spans="2:16" ht="16.5">
      <c r="B4" s="35"/>
      <c r="C4" s="21"/>
      <c r="D4" s="37" t="s">
        <v>29</v>
      </c>
      <c r="E4" s="37" t="s">
        <v>30</v>
      </c>
      <c r="F4" s="37" t="s">
        <v>31</v>
      </c>
      <c r="G4" s="37" t="s">
        <v>21</v>
      </c>
      <c r="H4" s="37" t="s">
        <v>22</v>
      </c>
      <c r="I4" s="37" t="s">
        <v>23</v>
      </c>
      <c r="J4" s="37" t="s">
        <v>24</v>
      </c>
      <c r="K4" s="37" t="s">
        <v>25</v>
      </c>
      <c r="L4" s="37" t="s">
        <v>26</v>
      </c>
      <c r="M4" s="37" t="s">
        <v>27</v>
      </c>
      <c r="N4" s="38" t="s">
        <v>28</v>
      </c>
      <c r="O4" s="21"/>
      <c r="P4" s="21"/>
    </row>
    <row r="5" spans="2:17" ht="12.75">
      <c r="B5" s="35" t="s">
        <v>0</v>
      </c>
      <c r="C5" s="21"/>
      <c r="D5" s="21">
        <v>60</v>
      </c>
      <c r="E5" s="21">
        <v>90</v>
      </c>
      <c r="F5" s="21">
        <v>150</v>
      </c>
      <c r="G5" s="22">
        <v>250</v>
      </c>
      <c r="H5" s="22">
        <v>235</v>
      </c>
      <c r="I5" s="22">
        <v>190</v>
      </c>
      <c r="J5" s="22">
        <v>160</v>
      </c>
      <c r="K5" s="22">
        <v>110</v>
      </c>
      <c r="L5" s="22">
        <v>90</v>
      </c>
      <c r="M5" s="22">
        <v>135</v>
      </c>
      <c r="N5" s="39">
        <v>260</v>
      </c>
      <c r="O5" s="22"/>
      <c r="P5" s="22"/>
      <c r="Q5" s="2"/>
    </row>
    <row r="6" spans="2:16" ht="12.75">
      <c r="B6" s="35"/>
      <c r="C6" s="21"/>
      <c r="D6" s="21"/>
      <c r="E6" s="21"/>
      <c r="F6" s="21"/>
      <c r="G6" s="21"/>
      <c r="H6" s="21"/>
      <c r="I6" s="21"/>
      <c r="J6" s="21"/>
      <c r="K6" s="21"/>
      <c r="L6" s="21"/>
      <c r="M6" s="21"/>
      <c r="N6" s="36"/>
      <c r="O6" s="21"/>
      <c r="P6" s="21"/>
    </row>
    <row r="7" spans="2:16" ht="12.75">
      <c r="B7" s="35" t="s">
        <v>2</v>
      </c>
      <c r="C7" s="21"/>
      <c r="D7" s="21"/>
      <c r="E7" s="21"/>
      <c r="F7" s="21"/>
      <c r="G7" s="21"/>
      <c r="H7" s="21"/>
      <c r="I7" s="21"/>
      <c r="J7" s="21"/>
      <c r="K7" s="21"/>
      <c r="L7" s="21"/>
      <c r="M7" s="21"/>
      <c r="N7" s="36"/>
      <c r="O7" s="21"/>
      <c r="P7" s="21"/>
    </row>
    <row r="8" spans="2:16" ht="12.75">
      <c r="B8" s="35"/>
      <c r="C8" s="21" t="s">
        <v>32</v>
      </c>
      <c r="D8" s="21"/>
      <c r="E8" s="21"/>
      <c r="F8" s="21"/>
      <c r="G8" s="21">
        <f aca="true" t="shared" si="0" ref="G8:L8">G5*Collections0</f>
        <v>50</v>
      </c>
      <c r="H8" s="21">
        <f t="shared" si="0"/>
        <v>47</v>
      </c>
      <c r="I8" s="21">
        <f t="shared" si="0"/>
        <v>38</v>
      </c>
      <c r="J8" s="21">
        <f t="shared" si="0"/>
        <v>32</v>
      </c>
      <c r="K8" s="21">
        <f t="shared" si="0"/>
        <v>22</v>
      </c>
      <c r="L8" s="21">
        <f t="shared" si="0"/>
        <v>18</v>
      </c>
      <c r="M8" s="21"/>
      <c r="N8" s="36"/>
      <c r="O8" s="21"/>
      <c r="P8" s="21"/>
    </row>
    <row r="9" spans="2:16" ht="12.75">
      <c r="B9" s="35"/>
      <c r="C9" s="21" t="s">
        <v>33</v>
      </c>
      <c r="D9" s="21"/>
      <c r="E9" s="21"/>
      <c r="F9" s="21"/>
      <c r="G9" s="21">
        <f aca="true" t="shared" si="1" ref="G9:L9">F5*Collections1</f>
        <v>22.5</v>
      </c>
      <c r="H9" s="21">
        <f t="shared" si="1"/>
        <v>37.5</v>
      </c>
      <c r="I9" s="21">
        <f t="shared" si="1"/>
        <v>35.25</v>
      </c>
      <c r="J9" s="21">
        <f t="shared" si="1"/>
        <v>28.5</v>
      </c>
      <c r="K9" s="21">
        <f t="shared" si="1"/>
        <v>24</v>
      </c>
      <c r="L9" s="21">
        <f t="shared" si="1"/>
        <v>16.5</v>
      </c>
      <c r="M9" s="21"/>
      <c r="N9" s="36"/>
      <c r="O9" s="21"/>
      <c r="P9" s="21"/>
    </row>
    <row r="10" spans="2:16" ht="12.75">
      <c r="B10" s="35"/>
      <c r="C10" s="21" t="s">
        <v>34</v>
      </c>
      <c r="D10" s="21"/>
      <c r="E10" s="21"/>
      <c r="F10" s="21"/>
      <c r="G10" s="21">
        <f aca="true" t="shared" si="2" ref="G10:L10">E5*Collections2</f>
        <v>49.50000000000001</v>
      </c>
      <c r="H10" s="21">
        <f t="shared" si="2"/>
        <v>82.5</v>
      </c>
      <c r="I10" s="21">
        <f t="shared" si="2"/>
        <v>137.5</v>
      </c>
      <c r="J10" s="21">
        <f t="shared" si="2"/>
        <v>129.25</v>
      </c>
      <c r="K10" s="21">
        <f t="shared" si="2"/>
        <v>104.50000000000001</v>
      </c>
      <c r="L10" s="21">
        <f t="shared" si="2"/>
        <v>88</v>
      </c>
      <c r="M10" s="21"/>
      <c r="N10" s="36"/>
      <c r="O10" s="21"/>
      <c r="P10" s="21"/>
    </row>
    <row r="11" spans="2:17" ht="15">
      <c r="B11" s="35"/>
      <c r="C11" s="21" t="s">
        <v>35</v>
      </c>
      <c r="D11" s="21"/>
      <c r="E11" s="21"/>
      <c r="F11" s="21"/>
      <c r="G11" s="23">
        <f aca="true" t="shared" si="3" ref="G11:L11">D5*Collections3</f>
        <v>5.3999999999999995</v>
      </c>
      <c r="H11" s="23">
        <f t="shared" si="3"/>
        <v>8.1</v>
      </c>
      <c r="I11" s="23">
        <f t="shared" si="3"/>
        <v>13.5</v>
      </c>
      <c r="J11" s="23">
        <f t="shared" si="3"/>
        <v>22.5</v>
      </c>
      <c r="K11" s="23">
        <f t="shared" si="3"/>
        <v>21.15</v>
      </c>
      <c r="L11" s="23">
        <f t="shared" si="3"/>
        <v>17.099999999999998</v>
      </c>
      <c r="M11" s="23"/>
      <c r="N11" s="40"/>
      <c r="O11" s="23"/>
      <c r="P11" s="23"/>
      <c r="Q11" s="3"/>
    </row>
    <row r="12" spans="2:16" ht="12.75">
      <c r="B12" s="35"/>
      <c r="C12" s="21" t="s">
        <v>36</v>
      </c>
      <c r="D12" s="21"/>
      <c r="E12" s="21"/>
      <c r="F12" s="21"/>
      <c r="G12" s="21">
        <f aca="true" t="shared" si="4" ref="G12:L12">SUM(G8:G11)</f>
        <v>127.4</v>
      </c>
      <c r="H12" s="21">
        <f t="shared" si="4"/>
        <v>175.1</v>
      </c>
      <c r="I12" s="21">
        <f t="shared" si="4"/>
        <v>224.25</v>
      </c>
      <c r="J12" s="21">
        <f t="shared" si="4"/>
        <v>212.25</v>
      </c>
      <c r="K12" s="21">
        <f t="shared" si="4"/>
        <v>171.65</v>
      </c>
      <c r="L12" s="21">
        <f t="shared" si="4"/>
        <v>139.6</v>
      </c>
      <c r="M12" s="21"/>
      <c r="N12" s="36"/>
      <c r="O12" s="21"/>
      <c r="P12" s="21"/>
    </row>
    <row r="13" spans="2:16" ht="7.5" customHeight="1">
      <c r="B13" s="35"/>
      <c r="C13" s="21"/>
      <c r="D13" s="21"/>
      <c r="E13" s="21"/>
      <c r="F13" s="21"/>
      <c r="G13" s="21"/>
      <c r="H13" s="21"/>
      <c r="I13" s="21"/>
      <c r="J13" s="21"/>
      <c r="K13" s="21"/>
      <c r="L13" s="21"/>
      <c r="M13" s="21"/>
      <c r="N13" s="36"/>
      <c r="O13" s="21"/>
      <c r="P13" s="21"/>
    </row>
    <row r="14" spans="2:16" ht="12.75">
      <c r="B14" s="35" t="s">
        <v>10</v>
      </c>
      <c r="C14" s="21"/>
      <c r="D14" s="21"/>
      <c r="E14" s="21"/>
      <c r="F14" s="21"/>
      <c r="G14" s="21"/>
      <c r="H14" s="21"/>
      <c r="I14" s="21"/>
      <c r="J14" s="21"/>
      <c r="K14" s="21"/>
      <c r="L14" s="21"/>
      <c r="M14" s="21"/>
      <c r="N14" s="36"/>
      <c r="O14" s="21"/>
      <c r="P14" s="21"/>
    </row>
    <row r="15" spans="2:16" ht="12.75">
      <c r="B15" s="35"/>
      <c r="C15" s="21" t="s">
        <v>38</v>
      </c>
      <c r="D15" s="21"/>
      <c r="E15" s="21"/>
      <c r="F15" s="21">
        <f>Inputs!$M$6*F5</f>
        <v>12</v>
      </c>
      <c r="G15" s="21">
        <f aca="true" t="shared" si="5" ref="G15:L15">G5*Purchases0</f>
        <v>20</v>
      </c>
      <c r="H15" s="21">
        <f t="shared" si="5"/>
        <v>18.8</v>
      </c>
      <c r="I15" s="21">
        <f t="shared" si="5"/>
        <v>15.200000000000001</v>
      </c>
      <c r="J15" s="21">
        <f t="shared" si="5"/>
        <v>12.8</v>
      </c>
      <c r="K15" s="21">
        <f t="shared" si="5"/>
        <v>8.8</v>
      </c>
      <c r="L15" s="21">
        <f t="shared" si="5"/>
        <v>7.2</v>
      </c>
      <c r="M15" s="21"/>
      <c r="N15" s="36"/>
      <c r="O15" s="21"/>
      <c r="P15" s="21"/>
    </row>
    <row r="16" spans="2:16" ht="12.75">
      <c r="B16" s="35"/>
      <c r="C16" s="21" t="s">
        <v>39</v>
      </c>
      <c r="D16" s="21"/>
      <c r="E16" s="21"/>
      <c r="F16" s="21">
        <f>Inputs!$M$7*G5</f>
        <v>62.5</v>
      </c>
      <c r="G16" s="21">
        <f aca="true" t="shared" si="6" ref="G16:L16">H5*Purchases1</f>
        <v>58.75</v>
      </c>
      <c r="H16" s="21">
        <f t="shared" si="6"/>
        <v>47.5</v>
      </c>
      <c r="I16" s="21">
        <f t="shared" si="6"/>
        <v>40</v>
      </c>
      <c r="J16" s="21">
        <f t="shared" si="6"/>
        <v>27.5</v>
      </c>
      <c r="K16" s="21">
        <f t="shared" si="6"/>
        <v>22.5</v>
      </c>
      <c r="L16" s="21">
        <f t="shared" si="6"/>
        <v>33.75</v>
      </c>
      <c r="M16" s="21"/>
      <c r="N16" s="36"/>
      <c r="O16" s="21"/>
      <c r="P16" s="21"/>
    </row>
    <row r="17" spans="2:17" ht="15">
      <c r="B17" s="35"/>
      <c r="C17" s="21" t="s">
        <v>40</v>
      </c>
      <c r="D17" s="21"/>
      <c r="E17" s="21"/>
      <c r="F17" s="23">
        <f>Inputs!$M$8*H5</f>
        <v>82.25</v>
      </c>
      <c r="G17" s="23">
        <f aca="true" t="shared" si="7" ref="G17:L17">I5*Purchases2</f>
        <v>66.5</v>
      </c>
      <c r="H17" s="23">
        <f t="shared" si="7"/>
        <v>56</v>
      </c>
      <c r="I17" s="23">
        <f t="shared" si="7"/>
        <v>38.5</v>
      </c>
      <c r="J17" s="23">
        <f t="shared" si="7"/>
        <v>31.499999999999996</v>
      </c>
      <c r="K17" s="23">
        <f t="shared" si="7"/>
        <v>47.25</v>
      </c>
      <c r="L17" s="23">
        <f t="shared" si="7"/>
        <v>91</v>
      </c>
      <c r="M17" s="23"/>
      <c r="N17" s="40"/>
      <c r="O17" s="23"/>
      <c r="P17" s="23"/>
      <c r="Q17" s="3"/>
    </row>
    <row r="18" spans="2:16" ht="12.75">
      <c r="B18" s="35"/>
      <c r="C18" s="21" t="s">
        <v>41</v>
      </c>
      <c r="D18" s="21"/>
      <c r="E18" s="21"/>
      <c r="F18" s="21">
        <f>SUM(F15:F17)</f>
        <v>156.75</v>
      </c>
      <c r="G18" s="21">
        <f aca="true" t="shared" si="8" ref="G18:L18">SUM(G15:G17)</f>
        <v>145.25</v>
      </c>
      <c r="H18" s="21">
        <f t="shared" si="8"/>
        <v>122.3</v>
      </c>
      <c r="I18" s="21">
        <f t="shared" si="8"/>
        <v>93.7</v>
      </c>
      <c r="J18" s="21">
        <f t="shared" si="8"/>
        <v>71.8</v>
      </c>
      <c r="K18" s="21">
        <f t="shared" si="8"/>
        <v>78.55</v>
      </c>
      <c r="L18" s="21">
        <f t="shared" si="8"/>
        <v>131.95</v>
      </c>
      <c r="M18" s="21"/>
      <c r="N18" s="36"/>
      <c r="O18" s="21"/>
      <c r="P18" s="21"/>
    </row>
    <row r="19" spans="2:16" ht="6" customHeight="1" thickBot="1">
      <c r="B19" s="41"/>
      <c r="C19" s="5"/>
      <c r="D19" s="5"/>
      <c r="E19" s="5"/>
      <c r="F19" s="5"/>
      <c r="G19" s="5"/>
      <c r="H19" s="5"/>
      <c r="I19" s="5"/>
      <c r="J19" s="5"/>
      <c r="K19" s="5"/>
      <c r="L19" s="5"/>
      <c r="M19" s="5"/>
      <c r="N19" s="42"/>
      <c r="O19" s="21"/>
      <c r="P19" s="21"/>
    </row>
    <row r="20" spans="2:16" ht="26.25" customHeight="1" thickBot="1">
      <c r="B20" s="49" t="s">
        <v>83</v>
      </c>
      <c r="C20" s="50"/>
      <c r="D20" s="51"/>
      <c r="E20" s="21"/>
      <c r="F20" s="21"/>
      <c r="G20" s="37" t="s">
        <v>21</v>
      </c>
      <c r="H20" s="37" t="s">
        <v>22</v>
      </c>
      <c r="I20" s="37" t="s">
        <v>23</v>
      </c>
      <c r="J20" s="37" t="s">
        <v>24</v>
      </c>
      <c r="K20" s="37" t="s">
        <v>25</v>
      </c>
      <c r="L20" s="37" t="s">
        <v>26</v>
      </c>
      <c r="M20" s="21"/>
      <c r="N20" s="36"/>
      <c r="O20" s="21"/>
      <c r="P20" s="21"/>
    </row>
    <row r="21" spans="2:16" ht="18" customHeight="1">
      <c r="B21" s="35" t="s">
        <v>42</v>
      </c>
      <c r="C21" s="21"/>
      <c r="D21" s="21"/>
      <c r="E21" s="21"/>
      <c r="F21" s="21"/>
      <c r="G21" s="21"/>
      <c r="H21" s="21"/>
      <c r="I21" s="21"/>
      <c r="J21" s="21"/>
      <c r="K21" s="21"/>
      <c r="L21" s="21"/>
      <c r="M21" s="21"/>
      <c r="N21" s="36"/>
      <c r="O21" s="21"/>
      <c r="P21" s="21"/>
    </row>
    <row r="22" spans="2:16" ht="12.75">
      <c r="B22" s="35"/>
      <c r="C22" s="21" t="s">
        <v>2</v>
      </c>
      <c r="D22" s="21"/>
      <c r="E22" s="21"/>
      <c r="F22" s="21"/>
      <c r="G22" s="21">
        <f aca="true" t="shared" si="9" ref="G22:L22">G12</f>
        <v>127.4</v>
      </c>
      <c r="H22" s="21">
        <f t="shared" si="9"/>
        <v>175.1</v>
      </c>
      <c r="I22" s="21">
        <f t="shared" si="9"/>
        <v>224.25</v>
      </c>
      <c r="J22" s="21">
        <f t="shared" si="9"/>
        <v>212.25</v>
      </c>
      <c r="K22" s="21">
        <f t="shared" si="9"/>
        <v>171.65</v>
      </c>
      <c r="L22" s="21">
        <f t="shared" si="9"/>
        <v>139.6</v>
      </c>
      <c r="M22" s="21"/>
      <c r="N22" s="36"/>
      <c r="O22" s="21"/>
      <c r="P22" s="21"/>
    </row>
    <row r="23" spans="2:16" ht="15">
      <c r="B23" s="35"/>
      <c r="C23" s="21" t="s">
        <v>89</v>
      </c>
      <c r="D23" s="21"/>
      <c r="E23" s="21"/>
      <c r="F23" s="21"/>
      <c r="G23" s="23"/>
      <c r="H23" s="23"/>
      <c r="I23" s="23"/>
      <c r="J23" s="23"/>
      <c r="K23" s="23"/>
      <c r="L23" s="23"/>
      <c r="M23" s="21"/>
      <c r="N23" s="36"/>
      <c r="O23" s="21"/>
      <c r="P23" s="21"/>
    </row>
    <row r="24" spans="2:16" ht="12.75">
      <c r="B24" s="35"/>
      <c r="C24" s="21" t="s">
        <v>78</v>
      </c>
      <c r="D24" s="21"/>
      <c r="E24" s="21"/>
      <c r="F24" s="21"/>
      <c r="G24" s="21">
        <f aca="true" t="shared" si="10" ref="G24:L24">SUM(G22:G23)</f>
        <v>127.4</v>
      </c>
      <c r="H24" s="21">
        <f t="shared" si="10"/>
        <v>175.1</v>
      </c>
      <c r="I24" s="21">
        <f t="shared" si="10"/>
        <v>224.25</v>
      </c>
      <c r="J24" s="21">
        <f t="shared" si="10"/>
        <v>212.25</v>
      </c>
      <c r="K24" s="21">
        <f t="shared" si="10"/>
        <v>171.65</v>
      </c>
      <c r="L24" s="21">
        <f t="shared" si="10"/>
        <v>139.6</v>
      </c>
      <c r="M24" s="21"/>
      <c r="N24" s="36"/>
      <c r="O24" s="21"/>
      <c r="P24" s="21"/>
    </row>
    <row r="25" spans="2:16" ht="6.75" customHeight="1">
      <c r="B25" s="35"/>
      <c r="C25" s="21"/>
      <c r="D25" s="21"/>
      <c r="E25" s="21"/>
      <c r="F25" s="21"/>
      <c r="G25" s="21"/>
      <c r="H25" s="21"/>
      <c r="I25" s="21"/>
      <c r="J25" s="21"/>
      <c r="K25" s="21"/>
      <c r="L25" s="21"/>
      <c r="M25" s="21"/>
      <c r="N25" s="36"/>
      <c r="O25" s="21"/>
      <c r="P25" s="21"/>
    </row>
    <row r="26" spans="2:16" ht="12.75">
      <c r="B26" s="35" t="s">
        <v>43</v>
      </c>
      <c r="C26" s="21"/>
      <c r="D26" s="21"/>
      <c r="E26" s="21"/>
      <c r="F26" s="21"/>
      <c r="G26" s="21"/>
      <c r="H26" s="21"/>
      <c r="I26" s="21"/>
      <c r="J26" s="21"/>
      <c r="K26" s="21"/>
      <c r="L26" s="21"/>
      <c r="M26" s="21"/>
      <c r="N26" s="36"/>
      <c r="O26" s="21"/>
      <c r="P26" s="21"/>
    </row>
    <row r="27" spans="2:16" ht="12.75">
      <c r="B27" s="35"/>
      <c r="C27" s="21" t="s">
        <v>68</v>
      </c>
      <c r="D27" s="21"/>
      <c r="E27" s="21"/>
      <c r="F27" s="21"/>
      <c r="G27" s="21">
        <f aca="true" t="shared" si="11" ref="G27:L27">F18</f>
        <v>156.75</v>
      </c>
      <c r="H27" s="21">
        <f t="shared" si="11"/>
        <v>145.25</v>
      </c>
      <c r="I27" s="21">
        <f t="shared" si="11"/>
        <v>122.3</v>
      </c>
      <c r="J27" s="21">
        <f t="shared" si="11"/>
        <v>93.7</v>
      </c>
      <c r="K27" s="21">
        <f t="shared" si="11"/>
        <v>71.8</v>
      </c>
      <c r="L27" s="21">
        <f t="shared" si="11"/>
        <v>78.55</v>
      </c>
      <c r="M27" s="21"/>
      <c r="N27" s="36"/>
      <c r="O27" s="21"/>
      <c r="P27" s="21"/>
    </row>
    <row r="28" spans="2:16" ht="12.75">
      <c r="B28" s="35"/>
      <c r="C28" s="21" t="s">
        <v>15</v>
      </c>
      <c r="D28" s="21"/>
      <c r="E28" s="21"/>
      <c r="F28" s="21"/>
      <c r="G28" s="21">
        <f aca="true" t="shared" si="12" ref="G28:L28">G5*SWVariable+SWFixed/1000</f>
        <v>50</v>
      </c>
      <c r="H28" s="21">
        <f t="shared" si="12"/>
        <v>47.900000000000006</v>
      </c>
      <c r="I28" s="21">
        <f t="shared" si="12"/>
        <v>41.6</v>
      </c>
      <c r="J28" s="21">
        <f t="shared" si="12"/>
        <v>37.400000000000006</v>
      </c>
      <c r="K28" s="21">
        <f t="shared" si="12"/>
        <v>30.400000000000002</v>
      </c>
      <c r="L28" s="21">
        <f t="shared" si="12"/>
        <v>27.6</v>
      </c>
      <c r="M28" s="21"/>
      <c r="N28" s="36"/>
      <c r="O28" s="21"/>
      <c r="P28" s="21"/>
    </row>
    <row r="29" spans="2:16" ht="12.75">
      <c r="B29" s="35"/>
      <c r="C29" s="21" t="s">
        <v>90</v>
      </c>
      <c r="D29" s="21"/>
      <c r="E29" s="21"/>
      <c r="F29" s="21"/>
      <c r="G29" s="21"/>
      <c r="H29" s="21"/>
      <c r="I29" s="21"/>
      <c r="J29" s="21"/>
      <c r="K29" s="21"/>
      <c r="L29" s="21"/>
      <c r="M29" s="21"/>
      <c r="N29" s="36"/>
      <c r="O29" s="21"/>
      <c r="P29" s="21"/>
    </row>
    <row r="30" spans="2:16" ht="12.75">
      <c r="B30" s="35"/>
      <c r="C30" s="21" t="s">
        <v>44</v>
      </c>
      <c r="D30" s="21"/>
      <c r="E30" s="21"/>
      <c r="F30" s="21"/>
      <c r="G30" s="21"/>
      <c r="H30" s="21"/>
      <c r="I30" s="21"/>
      <c r="J30" s="21"/>
      <c r="K30" s="21"/>
      <c r="L30" s="21"/>
      <c r="M30" s="21"/>
      <c r="N30" s="36"/>
      <c r="O30" s="21"/>
      <c r="P30" s="21"/>
    </row>
    <row r="31" spans="2:16" ht="12.75">
      <c r="B31" s="35"/>
      <c r="C31" s="21" t="s">
        <v>45</v>
      </c>
      <c r="D31" s="21"/>
      <c r="E31" s="21"/>
      <c r="F31" s="21"/>
      <c r="G31" s="21">
        <f>Inputs!$M$12/1000</f>
        <v>2</v>
      </c>
      <c r="H31" s="21">
        <f>Inputs!$M$12/1000</f>
        <v>2</v>
      </c>
      <c r="I31" s="21">
        <f>Inputs!$M$12/1000</f>
        <v>2</v>
      </c>
      <c r="J31" s="21">
        <f>Inputs!$M$12/1000</f>
        <v>2</v>
      </c>
      <c r="K31" s="21">
        <f>Inputs!$M$12/1000</f>
        <v>2</v>
      </c>
      <c r="L31" s="21">
        <f>Inputs!$M$12/1000</f>
        <v>2</v>
      </c>
      <c r="M31" s="21"/>
      <c r="N31" s="36"/>
      <c r="O31" s="21"/>
      <c r="P31" s="21"/>
    </row>
    <row r="32" spans="2:16" ht="12.75">
      <c r="B32" s="35"/>
      <c r="C32" s="21" t="s">
        <v>46</v>
      </c>
      <c r="D32" s="21"/>
      <c r="E32" s="21"/>
      <c r="F32" s="21"/>
      <c r="G32" s="21"/>
      <c r="H32" s="21"/>
      <c r="I32" s="21"/>
      <c r="J32" s="21">
        <v>150</v>
      </c>
      <c r="K32" s="21"/>
      <c r="L32" s="21"/>
      <c r="M32" s="21"/>
      <c r="N32" s="36"/>
      <c r="O32" s="21"/>
      <c r="P32" s="21"/>
    </row>
    <row r="33" spans="2:16" ht="15">
      <c r="B33" s="35"/>
      <c r="C33" s="21" t="s">
        <v>47</v>
      </c>
      <c r="D33" s="21"/>
      <c r="E33" s="21"/>
      <c r="F33" s="21"/>
      <c r="G33" s="23"/>
      <c r="H33" s="23"/>
      <c r="I33" s="23"/>
      <c r="J33" s="23"/>
      <c r="K33" s="23"/>
      <c r="L33" s="23"/>
      <c r="M33" s="23"/>
      <c r="N33" s="40"/>
      <c r="O33" s="23"/>
      <c r="P33" s="21"/>
    </row>
    <row r="34" spans="2:16" ht="12.75">
      <c r="B34" s="35"/>
      <c r="C34" s="21" t="s">
        <v>48</v>
      </c>
      <c r="D34" s="21"/>
      <c r="E34" s="21"/>
      <c r="F34" s="21"/>
      <c r="G34" s="21">
        <f aca="true" t="shared" si="13" ref="G34:L34">SUM(G27:G33)</f>
        <v>208.75</v>
      </c>
      <c r="H34" s="21">
        <f t="shared" si="13"/>
        <v>195.15</v>
      </c>
      <c r="I34" s="21">
        <f t="shared" si="13"/>
        <v>165.9</v>
      </c>
      <c r="J34" s="21">
        <f t="shared" si="13"/>
        <v>283.1</v>
      </c>
      <c r="K34" s="21">
        <f t="shared" si="13"/>
        <v>104.2</v>
      </c>
      <c r="L34" s="21">
        <f t="shared" si="13"/>
        <v>108.15</v>
      </c>
      <c r="M34" s="21"/>
      <c r="N34" s="36"/>
      <c r="O34" s="21"/>
      <c r="P34" s="21"/>
    </row>
    <row r="35" spans="2:16" ht="5.25" customHeight="1">
      <c r="B35" s="35"/>
      <c r="C35" s="21"/>
      <c r="D35" s="21"/>
      <c r="E35" s="21"/>
      <c r="F35" s="21"/>
      <c r="G35" s="21"/>
      <c r="H35" s="21"/>
      <c r="I35" s="21"/>
      <c r="J35" s="21"/>
      <c r="K35" s="21"/>
      <c r="L35" s="21"/>
      <c r="M35" s="21"/>
      <c r="N35" s="36"/>
      <c r="O35" s="21"/>
      <c r="P35" s="21"/>
    </row>
    <row r="36" spans="2:16" ht="12.75">
      <c r="B36" s="35" t="s">
        <v>49</v>
      </c>
      <c r="C36" s="21"/>
      <c r="D36" s="21"/>
      <c r="E36" s="21"/>
      <c r="F36" s="21"/>
      <c r="G36" s="21">
        <f aca="true" t="shared" si="14" ref="G36:L36">G24-G34</f>
        <v>-81.35</v>
      </c>
      <c r="H36" s="21">
        <f t="shared" si="14"/>
        <v>-20.05000000000001</v>
      </c>
      <c r="I36" s="21">
        <f t="shared" si="14"/>
        <v>58.349999999999994</v>
      </c>
      <c r="J36" s="21">
        <f t="shared" si="14"/>
        <v>-70.85000000000002</v>
      </c>
      <c r="K36" s="21">
        <f t="shared" si="14"/>
        <v>67.45</v>
      </c>
      <c r="L36" s="21">
        <f t="shared" si="14"/>
        <v>31.44999999999999</v>
      </c>
      <c r="M36" s="21"/>
      <c r="N36" s="36"/>
      <c r="O36" s="21"/>
      <c r="P36" s="21"/>
    </row>
    <row r="37" spans="2:16" ht="5.25" customHeight="1" thickBot="1">
      <c r="B37" s="41"/>
      <c r="C37" s="5"/>
      <c r="D37" s="5"/>
      <c r="E37" s="5"/>
      <c r="F37" s="5"/>
      <c r="G37" s="5"/>
      <c r="H37" s="5"/>
      <c r="I37" s="5"/>
      <c r="J37" s="5"/>
      <c r="K37" s="5"/>
      <c r="L37" s="5"/>
      <c r="M37" s="5"/>
      <c r="N37" s="42"/>
      <c r="O37" s="21"/>
      <c r="P37" s="21"/>
    </row>
    <row r="38" spans="2:16" ht="27" customHeight="1" thickBot="1">
      <c r="B38" s="49" t="s">
        <v>6</v>
      </c>
      <c r="C38" s="50"/>
      <c r="D38" s="51"/>
      <c r="E38" s="21"/>
      <c r="F38" s="21"/>
      <c r="G38" s="37" t="s">
        <v>21</v>
      </c>
      <c r="H38" s="37" t="s">
        <v>22</v>
      </c>
      <c r="I38" s="37" t="s">
        <v>23</v>
      </c>
      <c r="J38" s="37" t="s">
        <v>24</v>
      </c>
      <c r="K38" s="37" t="s">
        <v>25</v>
      </c>
      <c r="L38" s="37" t="s">
        <v>26</v>
      </c>
      <c r="M38" s="21"/>
      <c r="N38" s="36"/>
      <c r="O38" s="21"/>
      <c r="P38" s="21"/>
    </row>
    <row r="39" spans="2:16" ht="16.5" customHeight="1">
      <c r="B39" s="35" t="s">
        <v>52</v>
      </c>
      <c r="C39" s="21"/>
      <c r="D39" s="21"/>
      <c r="E39" s="21"/>
      <c r="F39" s="21"/>
      <c r="G39" s="21"/>
      <c r="H39" s="21"/>
      <c r="I39" s="21"/>
      <c r="J39" s="21"/>
      <c r="K39" s="21"/>
      <c r="L39" s="21"/>
      <c r="M39" s="21"/>
      <c r="N39" s="36"/>
      <c r="O39" s="21"/>
      <c r="P39" s="21"/>
    </row>
    <row r="40" spans="2:16" ht="8.25" customHeight="1">
      <c r="B40" s="35"/>
      <c r="C40" s="21"/>
      <c r="D40" s="21"/>
      <c r="E40" s="21"/>
      <c r="F40" s="21"/>
      <c r="G40" s="21"/>
      <c r="H40" s="21"/>
      <c r="I40" s="21"/>
      <c r="J40" s="21"/>
      <c r="K40" s="21"/>
      <c r="L40" s="21"/>
      <c r="M40" s="21"/>
      <c r="N40" s="36"/>
      <c r="O40" s="21"/>
      <c r="P40" s="21"/>
    </row>
    <row r="41" spans="2:16" ht="12.75">
      <c r="B41" s="35" t="s">
        <v>54</v>
      </c>
      <c r="C41" s="21"/>
      <c r="D41" s="21"/>
      <c r="E41" s="21"/>
      <c r="F41" s="21"/>
      <c r="G41" s="21"/>
      <c r="H41" s="21"/>
      <c r="I41" s="21"/>
      <c r="J41" s="21"/>
      <c r="K41" s="21"/>
      <c r="L41" s="21"/>
      <c r="M41" s="21"/>
      <c r="N41" s="36"/>
      <c r="O41" s="21"/>
      <c r="P41" s="21"/>
    </row>
    <row r="42" spans="2:16" ht="12.75">
      <c r="B42" s="35"/>
      <c r="C42" s="21" t="s">
        <v>50</v>
      </c>
      <c r="D42" s="21"/>
      <c r="E42" s="21"/>
      <c r="F42" s="21"/>
      <c r="G42" s="21">
        <f>F51</f>
        <v>170</v>
      </c>
      <c r="H42" s="21">
        <f>G45</f>
        <v>0</v>
      </c>
      <c r="I42" s="21">
        <f>H45</f>
        <v>0</v>
      </c>
      <c r="J42" s="21">
        <f>I45</f>
        <v>0</v>
      </c>
      <c r="K42" s="21">
        <f>J45</f>
        <v>0</v>
      </c>
      <c r="L42" s="21">
        <f>K45</f>
        <v>0</v>
      </c>
      <c r="M42" s="21"/>
      <c r="N42" s="36"/>
      <c r="O42" s="21"/>
      <c r="P42" s="21"/>
    </row>
    <row r="43" spans="2:16" ht="12.75">
      <c r="B43" s="35"/>
      <c r="C43" s="21" t="s">
        <v>51</v>
      </c>
      <c r="D43" s="21"/>
      <c r="E43" s="21"/>
      <c r="F43" s="21"/>
      <c r="G43" s="21">
        <f aca="true" t="shared" si="15" ref="G43:L43">+G36</f>
        <v>-81.35</v>
      </c>
      <c r="H43" s="21">
        <f t="shared" si="15"/>
        <v>-20.05000000000001</v>
      </c>
      <c r="I43" s="21">
        <f t="shared" si="15"/>
        <v>58.349999999999994</v>
      </c>
      <c r="J43" s="21">
        <f t="shared" si="15"/>
        <v>-70.85000000000002</v>
      </c>
      <c r="K43" s="21">
        <f t="shared" si="15"/>
        <v>67.45</v>
      </c>
      <c r="L43" s="21">
        <f t="shared" si="15"/>
        <v>31.44999999999999</v>
      </c>
      <c r="M43" s="21"/>
      <c r="N43" s="36"/>
      <c r="O43" s="21"/>
      <c r="P43" s="21"/>
    </row>
    <row r="44" spans="2:16" ht="15">
      <c r="B44" s="35"/>
      <c r="C44" s="21" t="s">
        <v>79</v>
      </c>
      <c r="D44" s="21"/>
      <c r="E44" s="21"/>
      <c r="F44" s="21"/>
      <c r="G44" s="23"/>
      <c r="H44" s="23"/>
      <c r="I44" s="23"/>
      <c r="J44" s="23"/>
      <c r="K44" s="23"/>
      <c r="L44" s="23"/>
      <c r="M44" s="23"/>
      <c r="N44" s="40"/>
      <c r="O44" s="23"/>
      <c r="P44" s="21"/>
    </row>
    <row r="45" spans="2:16" ht="12.75">
      <c r="B45" s="35"/>
      <c r="C45" s="21" t="s">
        <v>53</v>
      </c>
      <c r="D45" s="21"/>
      <c r="E45" s="21"/>
      <c r="F45" s="21"/>
      <c r="G45" s="21">
        <f aca="true" t="shared" si="16" ref="G45:L45">G39</f>
        <v>0</v>
      </c>
      <c r="H45" s="21">
        <f t="shared" si="16"/>
        <v>0</v>
      </c>
      <c r="I45" s="21">
        <f t="shared" si="16"/>
        <v>0</v>
      </c>
      <c r="J45" s="21">
        <f t="shared" si="16"/>
        <v>0</v>
      </c>
      <c r="K45" s="21">
        <f t="shared" si="16"/>
        <v>0</v>
      </c>
      <c r="L45" s="21">
        <f t="shared" si="16"/>
        <v>0</v>
      </c>
      <c r="M45" s="21"/>
      <c r="N45" s="36"/>
      <c r="O45" s="21"/>
      <c r="P45" s="21"/>
    </row>
    <row r="46" spans="2:16" ht="6.75" customHeight="1">
      <c r="B46" s="35"/>
      <c r="C46" s="21"/>
      <c r="D46" s="21"/>
      <c r="E46" s="21"/>
      <c r="F46" s="21"/>
      <c r="G46" s="21"/>
      <c r="H46" s="21"/>
      <c r="I46" s="21"/>
      <c r="J46" s="21"/>
      <c r="K46" s="21"/>
      <c r="L46" s="21"/>
      <c r="M46" s="21"/>
      <c r="N46" s="36"/>
      <c r="O46" s="21"/>
      <c r="P46" s="21"/>
    </row>
    <row r="47" spans="2:16" ht="12.75">
      <c r="B47" s="35" t="s">
        <v>88</v>
      </c>
      <c r="C47" s="21"/>
      <c r="D47" s="21"/>
      <c r="E47" s="21"/>
      <c r="F47" s="21">
        <f>F52</f>
        <v>90</v>
      </c>
      <c r="G47" s="21"/>
      <c r="H47" s="21"/>
      <c r="I47" s="21"/>
      <c r="J47" s="21"/>
      <c r="K47" s="21"/>
      <c r="L47" s="21"/>
      <c r="M47" s="21"/>
      <c r="N47" s="36"/>
      <c r="O47" s="21"/>
      <c r="P47" s="21"/>
    </row>
    <row r="48" spans="2:16" ht="6" customHeight="1" thickBot="1">
      <c r="B48" s="41"/>
      <c r="C48" s="5"/>
      <c r="D48" s="5"/>
      <c r="E48" s="5"/>
      <c r="F48" s="5"/>
      <c r="G48" s="5"/>
      <c r="H48" s="5"/>
      <c r="I48" s="5"/>
      <c r="J48" s="5"/>
      <c r="K48" s="5"/>
      <c r="L48" s="5"/>
      <c r="M48" s="5"/>
      <c r="N48" s="42"/>
      <c r="O48" s="21"/>
      <c r="P48" s="21"/>
    </row>
    <row r="49" spans="2:16" ht="27" customHeight="1" thickBot="1">
      <c r="B49" s="49" t="s">
        <v>84</v>
      </c>
      <c r="C49" s="50"/>
      <c r="D49" s="51"/>
      <c r="E49" s="21"/>
      <c r="F49" s="37" t="s">
        <v>31</v>
      </c>
      <c r="G49" s="37" t="s">
        <v>21</v>
      </c>
      <c r="H49" s="37" t="s">
        <v>22</v>
      </c>
      <c r="I49" s="37" t="s">
        <v>23</v>
      </c>
      <c r="J49" s="37" t="s">
        <v>24</v>
      </c>
      <c r="K49" s="37" t="s">
        <v>25</v>
      </c>
      <c r="L49" s="37" t="s">
        <v>26</v>
      </c>
      <c r="M49" s="21"/>
      <c r="N49" s="36"/>
      <c r="O49" s="21"/>
      <c r="P49" s="21"/>
    </row>
    <row r="50" spans="2:16" ht="17.25" customHeight="1">
      <c r="B50" s="35" t="s">
        <v>56</v>
      </c>
      <c r="C50" s="21"/>
      <c r="D50" s="21"/>
      <c r="E50" s="21"/>
      <c r="F50" s="21"/>
      <c r="G50" s="21"/>
      <c r="H50" s="21"/>
      <c r="I50" s="21"/>
      <c r="J50" s="21"/>
      <c r="K50" s="21"/>
      <c r="L50" s="21"/>
      <c r="M50" s="21"/>
      <c r="N50" s="36"/>
      <c r="O50" s="21"/>
      <c r="P50" s="21"/>
    </row>
    <row r="51" spans="2:16" ht="12.75">
      <c r="B51" s="35"/>
      <c r="C51" s="21" t="s">
        <v>55</v>
      </c>
      <c r="D51" s="21"/>
      <c r="E51" s="21"/>
      <c r="F51" s="21">
        <v>170</v>
      </c>
      <c r="G51" s="21"/>
      <c r="H51" s="21"/>
      <c r="I51" s="21"/>
      <c r="J51" s="21"/>
      <c r="K51" s="21"/>
      <c r="L51" s="21"/>
      <c r="M51" s="21"/>
      <c r="N51" s="36"/>
      <c r="O51" s="21"/>
      <c r="P51" s="21"/>
    </row>
    <row r="52" spans="2:16" ht="12.75">
      <c r="B52" s="35"/>
      <c r="C52" s="21" t="s">
        <v>86</v>
      </c>
      <c r="D52" s="21"/>
      <c r="E52" s="21"/>
      <c r="F52" s="21">
        <v>90</v>
      </c>
      <c r="G52" s="21"/>
      <c r="H52" s="21"/>
      <c r="I52" s="21"/>
      <c r="J52" s="21"/>
      <c r="K52" s="21"/>
      <c r="L52" s="21"/>
      <c r="M52" s="21"/>
      <c r="N52" s="36"/>
      <c r="O52" s="21"/>
      <c r="P52" s="21"/>
    </row>
    <row r="53" spans="2:16" ht="12.75">
      <c r="B53" s="35"/>
      <c r="C53" s="21" t="s">
        <v>57</v>
      </c>
      <c r="D53" s="21"/>
      <c r="E53" s="21"/>
      <c r="F53" s="21">
        <v>195</v>
      </c>
      <c r="G53" s="21"/>
      <c r="H53" s="21"/>
      <c r="I53" s="21"/>
      <c r="J53" s="21"/>
      <c r="K53" s="21"/>
      <c r="L53" s="21"/>
      <c r="M53" s="21"/>
      <c r="N53" s="36"/>
      <c r="O53" s="21"/>
      <c r="P53" s="21"/>
    </row>
    <row r="54" spans="2:16" ht="12.75">
      <c r="B54" s="35"/>
      <c r="C54" s="21" t="s">
        <v>58</v>
      </c>
      <c r="D54" s="21"/>
      <c r="E54" s="21"/>
      <c r="F54" s="21">
        <v>157</v>
      </c>
      <c r="G54" s="21"/>
      <c r="H54" s="21"/>
      <c r="I54" s="21"/>
      <c r="J54" s="21"/>
      <c r="K54" s="21"/>
      <c r="L54" s="21"/>
      <c r="M54" s="21"/>
      <c r="N54" s="36"/>
      <c r="O54" s="21"/>
      <c r="P54" s="21"/>
    </row>
    <row r="55" spans="2:16" ht="15">
      <c r="B55" s="35"/>
      <c r="C55" s="21" t="s">
        <v>59</v>
      </c>
      <c r="D55" s="21"/>
      <c r="E55" s="21"/>
      <c r="F55" s="23">
        <v>615</v>
      </c>
      <c r="G55" s="23"/>
      <c r="H55" s="23"/>
      <c r="I55" s="23"/>
      <c r="J55" s="23"/>
      <c r="K55" s="23"/>
      <c r="L55" s="23"/>
      <c r="M55" s="23"/>
      <c r="N55" s="40"/>
      <c r="O55" s="23"/>
      <c r="P55" s="21"/>
    </row>
    <row r="56" spans="2:16" ht="12.75">
      <c r="B56" s="35"/>
      <c r="C56" s="21" t="s">
        <v>60</v>
      </c>
      <c r="D56" s="21"/>
      <c r="E56" s="21"/>
      <c r="F56" s="21">
        <f aca="true" t="shared" si="17" ref="F56:L56">SUM(F51:F55)</f>
        <v>1227</v>
      </c>
      <c r="G56" s="21">
        <f t="shared" si="17"/>
        <v>0</v>
      </c>
      <c r="H56" s="21">
        <f t="shared" si="17"/>
        <v>0</v>
      </c>
      <c r="I56" s="21">
        <f t="shared" si="17"/>
        <v>0</v>
      </c>
      <c r="J56" s="21">
        <f t="shared" si="17"/>
        <v>0</v>
      </c>
      <c r="K56" s="21">
        <f t="shared" si="17"/>
        <v>0</v>
      </c>
      <c r="L56" s="21">
        <f t="shared" si="17"/>
        <v>0</v>
      </c>
      <c r="M56" s="21"/>
      <c r="N56" s="36"/>
      <c r="O56" s="21"/>
      <c r="P56" s="21"/>
    </row>
    <row r="57" spans="2:16" ht="7.5" customHeight="1">
      <c r="B57" s="35"/>
      <c r="C57" s="21"/>
      <c r="D57" s="21"/>
      <c r="E57" s="21"/>
      <c r="F57" s="21"/>
      <c r="G57" s="21"/>
      <c r="H57" s="21"/>
      <c r="I57" s="21"/>
      <c r="J57" s="21"/>
      <c r="K57" s="21"/>
      <c r="L57" s="21"/>
      <c r="M57" s="21"/>
      <c r="N57" s="36"/>
      <c r="O57" s="21"/>
      <c r="P57" s="21"/>
    </row>
    <row r="58" spans="2:16" ht="12.75">
      <c r="B58" s="35" t="s">
        <v>61</v>
      </c>
      <c r="C58" s="21"/>
      <c r="D58" s="21"/>
      <c r="E58" s="21"/>
      <c r="F58" s="21"/>
      <c r="G58" s="21"/>
      <c r="H58" s="21"/>
      <c r="I58" s="21"/>
      <c r="J58" s="21"/>
      <c r="K58" s="21"/>
      <c r="L58" s="21"/>
      <c r="M58" s="21"/>
      <c r="N58" s="36"/>
      <c r="O58" s="21"/>
      <c r="P58" s="21"/>
    </row>
    <row r="59" spans="2:16" ht="12.75">
      <c r="B59" s="35"/>
      <c r="C59" s="21" t="s">
        <v>62</v>
      </c>
      <c r="D59" s="21"/>
      <c r="E59" s="21"/>
      <c r="F59" s="21">
        <v>160</v>
      </c>
      <c r="G59" s="21"/>
      <c r="H59" s="21"/>
      <c r="I59" s="21"/>
      <c r="J59" s="21"/>
      <c r="K59" s="21"/>
      <c r="L59" s="21"/>
      <c r="M59" s="21"/>
      <c r="N59" s="36"/>
      <c r="O59" s="21"/>
      <c r="P59" s="21"/>
    </row>
    <row r="60" spans="2:16" ht="12.75">
      <c r="B60" s="35"/>
      <c r="C60" s="21" t="s">
        <v>87</v>
      </c>
      <c r="D60" s="21"/>
      <c r="E60" s="21"/>
      <c r="F60" s="21">
        <v>0</v>
      </c>
      <c r="G60" s="21"/>
      <c r="H60" s="21"/>
      <c r="I60" s="21"/>
      <c r="J60" s="21"/>
      <c r="K60" s="21"/>
      <c r="L60" s="21"/>
      <c r="M60" s="21"/>
      <c r="N60" s="36"/>
      <c r="O60" s="21"/>
      <c r="P60" s="21"/>
    </row>
    <row r="61" spans="2:16" ht="12.75">
      <c r="B61" s="35"/>
      <c r="C61" s="21" t="s">
        <v>63</v>
      </c>
      <c r="D61" s="21"/>
      <c r="E61" s="21"/>
      <c r="F61" s="21">
        <v>0</v>
      </c>
      <c r="G61" s="21"/>
      <c r="H61" s="21"/>
      <c r="I61" s="21"/>
      <c r="J61" s="21"/>
      <c r="K61" s="21"/>
      <c r="L61" s="21"/>
      <c r="M61" s="21"/>
      <c r="N61" s="36"/>
      <c r="O61" s="21"/>
      <c r="P61" s="21"/>
    </row>
    <row r="62" spans="2:16" ht="12.75">
      <c r="B62" s="35"/>
      <c r="C62" s="21" t="s">
        <v>64</v>
      </c>
      <c r="D62" s="21"/>
      <c r="E62" s="21"/>
      <c r="F62" s="21">
        <v>600</v>
      </c>
      <c r="G62" s="21">
        <f aca="true" t="shared" si="18" ref="G62:L63">F62</f>
        <v>600</v>
      </c>
      <c r="H62" s="21">
        <f t="shared" si="18"/>
        <v>600</v>
      </c>
      <c r="I62" s="21">
        <f t="shared" si="18"/>
        <v>600</v>
      </c>
      <c r="J62" s="21">
        <f t="shared" si="18"/>
        <v>600</v>
      </c>
      <c r="K62" s="21">
        <f t="shared" si="18"/>
        <v>600</v>
      </c>
      <c r="L62" s="21">
        <f t="shared" si="18"/>
        <v>600</v>
      </c>
      <c r="M62" s="21"/>
      <c r="N62" s="36"/>
      <c r="O62" s="21"/>
      <c r="P62" s="21"/>
    </row>
    <row r="63" spans="2:16" ht="12.75">
      <c r="B63" s="35"/>
      <c r="C63" s="21" t="s">
        <v>65</v>
      </c>
      <c r="D63" s="21"/>
      <c r="E63" s="21"/>
      <c r="F63" s="21">
        <v>120</v>
      </c>
      <c r="G63" s="21">
        <f t="shared" si="18"/>
        <v>120</v>
      </c>
      <c r="H63" s="21">
        <f t="shared" si="18"/>
        <v>120</v>
      </c>
      <c r="I63" s="21">
        <f t="shared" si="18"/>
        <v>120</v>
      </c>
      <c r="J63" s="21">
        <f t="shared" si="18"/>
        <v>120</v>
      </c>
      <c r="K63" s="21">
        <f t="shared" si="18"/>
        <v>120</v>
      </c>
      <c r="L63" s="21">
        <f t="shared" si="18"/>
        <v>120</v>
      </c>
      <c r="M63" s="21"/>
      <c r="N63" s="36"/>
      <c r="O63" s="21"/>
      <c r="P63" s="21"/>
    </row>
    <row r="64" spans="2:16" ht="15">
      <c r="B64" s="35"/>
      <c r="C64" s="21" t="s">
        <v>66</v>
      </c>
      <c r="D64" s="21"/>
      <c r="E64" s="21"/>
      <c r="F64" s="23">
        <v>347</v>
      </c>
      <c r="G64" s="23"/>
      <c r="H64" s="23"/>
      <c r="I64" s="23"/>
      <c r="J64" s="23"/>
      <c r="K64" s="23"/>
      <c r="L64" s="23"/>
      <c r="M64" s="23"/>
      <c r="N64" s="40"/>
      <c r="O64" s="23"/>
      <c r="P64" s="21"/>
    </row>
    <row r="65" spans="2:16" ht="12.75">
      <c r="B65" s="35"/>
      <c r="C65" s="21" t="s">
        <v>67</v>
      </c>
      <c r="D65" s="21"/>
      <c r="E65" s="21"/>
      <c r="F65" s="21">
        <f aca="true" t="shared" si="19" ref="F65:L65">SUM(F59:F64)</f>
        <v>1227</v>
      </c>
      <c r="G65" s="21">
        <f t="shared" si="19"/>
        <v>720</v>
      </c>
      <c r="H65" s="21">
        <f t="shared" si="19"/>
        <v>720</v>
      </c>
      <c r="I65" s="21">
        <f t="shared" si="19"/>
        <v>720</v>
      </c>
      <c r="J65" s="21">
        <f t="shared" si="19"/>
        <v>720</v>
      </c>
      <c r="K65" s="21">
        <f t="shared" si="19"/>
        <v>720</v>
      </c>
      <c r="L65" s="21">
        <f t="shared" si="19"/>
        <v>720</v>
      </c>
      <c r="M65" s="21"/>
      <c r="N65" s="36"/>
      <c r="O65" s="21"/>
      <c r="P65" s="21"/>
    </row>
    <row r="66" spans="2:16" ht="6" customHeight="1" thickBot="1">
      <c r="B66" s="41"/>
      <c r="C66" s="5"/>
      <c r="D66" s="5"/>
      <c r="E66" s="5"/>
      <c r="F66" s="5"/>
      <c r="G66" s="5"/>
      <c r="H66" s="5"/>
      <c r="I66" s="5"/>
      <c r="J66" s="5"/>
      <c r="K66" s="5"/>
      <c r="L66" s="5"/>
      <c r="M66" s="5"/>
      <c r="N66" s="42"/>
      <c r="O66" s="21"/>
      <c r="P66" s="21"/>
    </row>
    <row r="67" spans="2:16" ht="27" customHeight="1" thickBot="1">
      <c r="B67" s="49" t="s">
        <v>85</v>
      </c>
      <c r="C67" s="50"/>
      <c r="D67" s="51"/>
      <c r="E67" s="21"/>
      <c r="F67" s="21"/>
      <c r="G67" s="37" t="s">
        <v>21</v>
      </c>
      <c r="H67" s="37" t="s">
        <v>22</v>
      </c>
      <c r="I67" s="37" t="s">
        <v>23</v>
      </c>
      <c r="J67" s="37" t="s">
        <v>24</v>
      </c>
      <c r="K67" s="37" t="s">
        <v>25</v>
      </c>
      <c r="L67" s="37" t="s">
        <v>26</v>
      </c>
      <c r="M67" s="21"/>
      <c r="N67" s="36"/>
      <c r="O67" s="21"/>
      <c r="P67" s="21"/>
    </row>
    <row r="68" spans="2:16" ht="15" customHeight="1">
      <c r="B68" s="35"/>
      <c r="C68" s="21" t="s">
        <v>81</v>
      </c>
      <c r="D68" s="21"/>
      <c r="E68" s="21"/>
      <c r="F68" s="21"/>
      <c r="G68" s="21"/>
      <c r="H68" s="21"/>
      <c r="I68" s="21"/>
      <c r="J68" s="21"/>
      <c r="K68" s="21"/>
      <c r="L68" s="21"/>
      <c r="M68" s="21"/>
      <c r="N68" s="36"/>
      <c r="O68" s="21"/>
      <c r="P68" s="21"/>
    </row>
    <row r="69" spans="2:16" ht="12.75">
      <c r="B69" s="35"/>
      <c r="C69" s="21" t="s">
        <v>70</v>
      </c>
      <c r="D69" s="21"/>
      <c r="E69" s="21"/>
      <c r="F69" s="21"/>
      <c r="G69" s="21"/>
      <c r="H69" s="21"/>
      <c r="I69" s="21"/>
      <c r="J69" s="21"/>
      <c r="K69" s="21"/>
      <c r="L69" s="21"/>
      <c r="M69" s="21"/>
      <c r="N69" s="36"/>
      <c r="O69" s="21"/>
      <c r="P69" s="21"/>
    </row>
    <row r="70" spans="2:16" ht="12.75">
      <c r="B70" s="35"/>
      <c r="C70" s="21" t="s">
        <v>71</v>
      </c>
      <c r="D70" s="21"/>
      <c r="E70" s="21"/>
      <c r="F70" s="21"/>
      <c r="G70" s="21"/>
      <c r="H70" s="21"/>
      <c r="I70" s="21"/>
      <c r="J70" s="21"/>
      <c r="K70" s="21"/>
      <c r="L70" s="21"/>
      <c r="M70" s="21"/>
      <c r="N70" s="36"/>
      <c r="O70" s="21"/>
      <c r="P70" s="21"/>
    </row>
    <row r="71" spans="2:16" ht="15">
      <c r="B71" s="35"/>
      <c r="C71" s="23" t="s">
        <v>72</v>
      </c>
      <c r="D71" s="21"/>
      <c r="E71" s="21"/>
      <c r="F71" s="21"/>
      <c r="G71" s="23"/>
      <c r="H71" s="23"/>
      <c r="I71" s="23"/>
      <c r="J71" s="23"/>
      <c r="K71" s="23"/>
      <c r="L71" s="23"/>
      <c r="M71" s="23"/>
      <c r="N71" s="40"/>
      <c r="O71" s="23"/>
      <c r="P71" s="21"/>
    </row>
    <row r="72" spans="2:16" ht="12.75">
      <c r="B72" s="35"/>
      <c r="C72" s="21" t="s">
        <v>69</v>
      </c>
      <c r="D72" s="21"/>
      <c r="E72" s="21"/>
      <c r="F72" s="21"/>
      <c r="G72" s="21">
        <f aca="true" t="shared" si="20" ref="G72:L72">SUM(G68:G71)</f>
        <v>0</v>
      </c>
      <c r="H72" s="21">
        <f t="shared" si="20"/>
        <v>0</v>
      </c>
      <c r="I72" s="21">
        <f t="shared" si="20"/>
        <v>0</v>
      </c>
      <c r="J72" s="21">
        <f t="shared" si="20"/>
        <v>0</v>
      </c>
      <c r="K72" s="21">
        <f t="shared" si="20"/>
        <v>0</v>
      </c>
      <c r="L72" s="21">
        <f t="shared" si="20"/>
        <v>0</v>
      </c>
      <c r="M72" s="21"/>
      <c r="N72" s="36"/>
      <c r="O72" s="21"/>
      <c r="P72" s="21"/>
    </row>
    <row r="73" spans="2:16" ht="12.75">
      <c r="B73" s="35"/>
      <c r="C73" s="21" t="s">
        <v>93</v>
      </c>
      <c r="D73" s="21"/>
      <c r="E73" s="21"/>
      <c r="F73" s="21"/>
      <c r="G73" s="21"/>
      <c r="H73" s="21"/>
      <c r="I73" s="21"/>
      <c r="J73" s="21"/>
      <c r="K73" s="21"/>
      <c r="L73" s="21"/>
      <c r="M73" s="21"/>
      <c r="N73" s="36"/>
      <c r="O73" s="21"/>
      <c r="P73" s="21"/>
    </row>
    <row r="74" spans="2:16" ht="12.75">
      <c r="B74" s="35"/>
      <c r="C74" s="43" t="s">
        <v>91</v>
      </c>
      <c r="D74" s="21"/>
      <c r="E74" s="21"/>
      <c r="F74" s="21"/>
      <c r="G74" s="21"/>
      <c r="H74" s="21"/>
      <c r="I74" s="21"/>
      <c r="J74" s="21"/>
      <c r="K74" s="21"/>
      <c r="L74" s="21"/>
      <c r="M74" s="21"/>
      <c r="N74" s="36"/>
      <c r="O74" s="21"/>
      <c r="P74" s="21"/>
    </row>
    <row r="75" spans="2:16" ht="15">
      <c r="B75" s="35"/>
      <c r="C75" s="23" t="s">
        <v>92</v>
      </c>
      <c r="D75" s="21"/>
      <c r="E75" s="21"/>
      <c r="F75" s="21"/>
      <c r="G75" s="23"/>
      <c r="H75" s="23"/>
      <c r="I75" s="23"/>
      <c r="J75" s="23"/>
      <c r="K75" s="23"/>
      <c r="L75" s="23"/>
      <c r="M75" s="23"/>
      <c r="N75" s="40"/>
      <c r="O75" s="23"/>
      <c r="P75" s="21"/>
    </row>
    <row r="76" spans="2:16" ht="12.75">
      <c r="B76" s="35"/>
      <c r="C76" s="21" t="s">
        <v>73</v>
      </c>
      <c r="D76" s="21"/>
      <c r="E76" s="21"/>
      <c r="F76" s="21"/>
      <c r="G76" s="21">
        <f aca="true" t="shared" si="21" ref="G76:L76">SUM(G72:G75)</f>
        <v>0</v>
      </c>
      <c r="H76" s="21">
        <f t="shared" si="21"/>
        <v>0</v>
      </c>
      <c r="I76" s="21">
        <f t="shared" si="21"/>
        <v>0</v>
      </c>
      <c r="J76" s="21">
        <f t="shared" si="21"/>
        <v>0</v>
      </c>
      <c r="K76" s="21">
        <f t="shared" si="21"/>
        <v>0</v>
      </c>
      <c r="L76" s="21">
        <f t="shared" si="21"/>
        <v>0</v>
      </c>
      <c r="M76" s="21"/>
      <c r="N76" s="36"/>
      <c r="O76" s="21"/>
      <c r="P76" s="21"/>
    </row>
    <row r="77" spans="2:16" ht="15">
      <c r="B77" s="35"/>
      <c r="C77" s="23" t="s">
        <v>74</v>
      </c>
      <c r="D77" s="21"/>
      <c r="E77" s="21"/>
      <c r="F77" s="21"/>
      <c r="G77" s="23"/>
      <c r="H77" s="23"/>
      <c r="I77" s="23"/>
      <c r="J77" s="23"/>
      <c r="K77" s="23"/>
      <c r="L77" s="23"/>
      <c r="M77" s="23"/>
      <c r="N77" s="40"/>
      <c r="O77" s="23"/>
      <c r="P77" s="21"/>
    </row>
    <row r="78" spans="2:16" ht="12.75">
      <c r="B78" s="35"/>
      <c r="C78" s="21" t="s">
        <v>75</v>
      </c>
      <c r="D78" s="21"/>
      <c r="E78" s="21"/>
      <c r="F78" s="21"/>
      <c r="G78" s="21">
        <f aca="true" t="shared" si="22" ref="G78:L78">SUM(G76:G77)</f>
        <v>0</v>
      </c>
      <c r="H78" s="21">
        <f t="shared" si="22"/>
        <v>0</v>
      </c>
      <c r="I78" s="21">
        <f t="shared" si="22"/>
        <v>0</v>
      </c>
      <c r="J78" s="21">
        <f t="shared" si="22"/>
        <v>0</v>
      </c>
      <c r="K78" s="21">
        <f t="shared" si="22"/>
        <v>0</v>
      </c>
      <c r="L78" s="21">
        <f t="shared" si="22"/>
        <v>0</v>
      </c>
      <c r="M78" s="21"/>
      <c r="N78" s="36"/>
      <c r="O78" s="21"/>
      <c r="P78" s="21"/>
    </row>
    <row r="79" spans="2:16" ht="15">
      <c r="B79" s="35"/>
      <c r="C79" s="23" t="s">
        <v>76</v>
      </c>
      <c r="D79" s="21"/>
      <c r="E79" s="21"/>
      <c r="F79" s="21"/>
      <c r="G79" s="23">
        <f aca="true" t="shared" si="23" ref="G79:L79">-G31</f>
        <v>-2</v>
      </c>
      <c r="H79" s="23">
        <f t="shared" si="23"/>
        <v>-2</v>
      </c>
      <c r="I79" s="23">
        <f t="shared" si="23"/>
        <v>-2</v>
      </c>
      <c r="J79" s="23">
        <f t="shared" si="23"/>
        <v>-2</v>
      </c>
      <c r="K79" s="23">
        <f t="shared" si="23"/>
        <v>-2</v>
      </c>
      <c r="L79" s="23">
        <f t="shared" si="23"/>
        <v>-2</v>
      </c>
      <c r="M79" s="23"/>
      <c r="N79" s="40"/>
      <c r="O79" s="23"/>
      <c r="P79" s="21"/>
    </row>
    <row r="80" spans="2:16" ht="12.75">
      <c r="B80" s="35"/>
      <c r="C80" s="21" t="s">
        <v>66</v>
      </c>
      <c r="D80" s="21"/>
      <c r="E80" s="21"/>
      <c r="F80" s="21"/>
      <c r="G80" s="21">
        <f aca="true" t="shared" si="24" ref="G80:L80">SUM(G78:G79)</f>
        <v>-2</v>
      </c>
      <c r="H80" s="21">
        <f t="shared" si="24"/>
        <v>-2</v>
      </c>
      <c r="I80" s="21">
        <f t="shared" si="24"/>
        <v>-2</v>
      </c>
      <c r="J80" s="21">
        <f t="shared" si="24"/>
        <v>-2</v>
      </c>
      <c r="K80" s="21">
        <f t="shared" si="24"/>
        <v>-2</v>
      </c>
      <c r="L80" s="21">
        <f t="shared" si="24"/>
        <v>-2</v>
      </c>
      <c r="M80" s="21"/>
      <c r="N80" s="36"/>
      <c r="O80" s="21"/>
      <c r="P80" s="21"/>
    </row>
    <row r="81" spans="2:16" ht="6.75" customHeight="1" thickBot="1">
      <c r="B81" s="41"/>
      <c r="C81" s="5"/>
      <c r="D81" s="5"/>
      <c r="E81" s="5"/>
      <c r="F81" s="5"/>
      <c r="G81" s="5"/>
      <c r="H81" s="5"/>
      <c r="I81" s="5"/>
      <c r="J81" s="5"/>
      <c r="K81" s="5"/>
      <c r="L81" s="5"/>
      <c r="M81" s="5"/>
      <c r="N81" s="42"/>
      <c r="O81" s="21"/>
      <c r="P81" s="21"/>
    </row>
    <row r="82" spans="15:16" ht="12.75">
      <c r="O82" s="21"/>
      <c r="P82" s="21"/>
    </row>
  </sheetData>
  <mergeCells count="5">
    <mergeCell ref="B67:D67"/>
    <mergeCell ref="B2:N2"/>
    <mergeCell ref="B20:D20"/>
    <mergeCell ref="B38:D38"/>
    <mergeCell ref="B49:D4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Mississippi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dhawley</dc:creator>
  <cp:keywords/>
  <dc:description/>
  <cp:lastModifiedBy>DDH</cp:lastModifiedBy>
  <cp:lastPrinted>2003-05-15T19:42:37Z</cp:lastPrinted>
  <dcterms:created xsi:type="dcterms:W3CDTF">2003-03-15T23:53:38Z</dcterms:created>
  <dcterms:modified xsi:type="dcterms:W3CDTF">2007-03-14T17:57:26Z</dcterms:modified>
  <cp:category/>
  <cp:version/>
  <cp:contentType/>
  <cp:contentStatus/>
</cp:coreProperties>
</file>