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Dropbox\Class\Spring 2014\Exam 1\"/>
    </mc:Choice>
  </mc:AlternateContent>
  <bookViews>
    <workbookView xWindow="3840" yWindow="645" windowWidth="20115" windowHeight="7935" tabRatio="887" firstSheet="1" activeTab="1"/>
  </bookViews>
  <sheets>
    <sheet name="INSTRUCTIONS" sheetId="8" r:id="rId1"/>
    <sheet name="Prob 1 - 25 Pts" sheetId="1" r:id="rId2"/>
    <sheet name="Prob 2 - 25 Pts " sheetId="6" r:id="rId3"/>
    <sheet name="Scenario Summary" sheetId="23" r:id="rId4"/>
    <sheet name="Prob 3 - 10 Pts" sheetId="7" r:id="rId5"/>
    <sheet name="Prob 4 - 8 Pts" sheetId="21" r:id="rId6"/>
    <sheet name="Prob 5 - 12 Pts" sheetId="26"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'!$B$20:$N$56</definedName>
  </definedNames>
  <calcPr calcId="152511"/>
</workbook>
</file>

<file path=xl/calcChain.xml><?xml version="1.0" encoding="utf-8"?>
<calcChain xmlns="http://schemas.openxmlformats.org/spreadsheetml/2006/main">
  <c r="D78" i="1" l="1"/>
  <c r="C18" i="19" l="1"/>
  <c r="C17" i="19"/>
  <c r="C16" i="19"/>
  <c r="C15" i="19"/>
  <c r="C14" i="19"/>
  <c r="C13" i="19"/>
  <c r="C12" i="19"/>
  <c r="C11" i="19"/>
  <c r="C10" i="19"/>
  <c r="C9" i="19"/>
  <c r="C8" i="19"/>
  <c r="C7" i="19"/>
  <c r="E17" i="26"/>
  <c r="E16" i="26"/>
  <c r="E15" i="26"/>
  <c r="E14" i="26"/>
  <c r="E13" i="26"/>
  <c r="E12" i="26"/>
  <c r="E11" i="26"/>
  <c r="E10" i="26"/>
  <c r="E9" i="26"/>
  <c r="E8" i="26"/>
  <c r="D85" i="1"/>
  <c r="C6" i="19" l="1"/>
  <c r="C5" i="19"/>
  <c r="C4" i="19"/>
  <c r="D20" i="21" l="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6" i="21" l="1"/>
  <c r="C24" i="21"/>
  <c r="D91" i="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46" i="1"/>
  <c r="E66" i="1"/>
  <c r="E67" i="1" s="1"/>
  <c r="E60" i="1"/>
  <c r="E62" i="1" s="1"/>
  <c r="E52" i="1"/>
  <c r="E49" i="1"/>
  <c r="G32" i="1"/>
  <c r="G30" i="1"/>
  <c r="G28" i="1"/>
  <c r="G27" i="1"/>
  <c r="G26" i="1"/>
  <c r="G24" i="1"/>
  <c r="G23" i="1"/>
  <c r="D30" i="1"/>
  <c r="D28" i="1"/>
  <c r="D27" i="1"/>
  <c r="D26" i="1"/>
  <c r="D23" i="1"/>
  <c r="E25" i="1"/>
  <c r="G25" i="1" s="1"/>
  <c r="G46" i="6" l="1"/>
  <c r="H46" i="6" s="1"/>
  <c r="I46" i="6" s="1"/>
  <c r="J46" i="6" s="1"/>
  <c r="H42" i="6"/>
  <c r="E54" i="1"/>
  <c r="G62" i="1"/>
  <c r="F26" i="1"/>
  <c r="F23" i="1"/>
  <c r="F27" i="1"/>
  <c r="E29" i="1"/>
  <c r="D24" i="1"/>
  <c r="F24" i="1" s="1"/>
  <c r="F30" i="1"/>
  <c r="D60" i="1"/>
  <c r="D62" i="1" s="1"/>
  <c r="D51" i="1"/>
  <c r="D52" i="1" s="1"/>
  <c r="D75" i="1"/>
  <c r="J38" i="6"/>
  <c r="J43" i="6" s="1"/>
  <c r="M43" i="6"/>
  <c r="F43" i="6"/>
  <c r="F44" i="6" s="1"/>
  <c r="F45" i="6" s="1"/>
  <c r="F48" i="6" s="1"/>
  <c r="F52" i="6" s="1"/>
  <c r="K6" i="7" s="1"/>
  <c r="N43" i="6"/>
  <c r="H38" i="6"/>
  <c r="H43" i="6" s="1"/>
  <c r="H44" i="6" s="1"/>
  <c r="H45" i="6" s="1"/>
  <c r="L43" i="6"/>
  <c r="G38" i="6"/>
  <c r="G43" i="6" s="1"/>
  <c r="G44" i="6" s="1"/>
  <c r="K43" i="6"/>
  <c r="I38" i="6"/>
  <c r="I43" i="6" s="1"/>
  <c r="F28" i="1"/>
  <c r="J42" i="6"/>
  <c r="I42" i="6"/>
  <c r="G45" i="6" l="1"/>
  <c r="G48" i="6" s="1"/>
  <c r="G52" i="6" s="1"/>
  <c r="L6" i="7" s="1"/>
  <c r="D25" i="1"/>
  <c r="F25" i="1" s="1"/>
  <c r="G66" i="1"/>
  <c r="G64" i="1"/>
  <c r="G60" i="1"/>
  <c r="G51" i="1"/>
  <c r="G65" i="1"/>
  <c r="G61" i="1"/>
  <c r="G57" i="1"/>
  <c r="G52" i="1"/>
  <c r="G48" i="1"/>
  <c r="G44" i="1"/>
  <c r="G56" i="1"/>
  <c r="G47" i="1"/>
  <c r="G67" i="1"/>
  <c r="G63" i="1"/>
  <c r="G59" i="1"/>
  <c r="G50" i="1"/>
  <c r="G46" i="1"/>
  <c r="G58" i="1"/>
  <c r="G53" i="1"/>
  <c r="G45" i="1"/>
  <c r="E31" i="1"/>
  <c r="G29" i="1"/>
  <c r="G49" i="1"/>
  <c r="G54" i="1"/>
  <c r="F53" i="6"/>
  <c r="K7" i="7" s="1"/>
  <c r="J44" i="6"/>
  <c r="J45" i="6" s="1"/>
  <c r="I44" i="6"/>
  <c r="I45" i="6" s="1"/>
  <c r="K46" i="6"/>
  <c r="K42" i="6"/>
  <c r="K44" i="6" s="1"/>
  <c r="K45" i="6" l="1"/>
  <c r="D29" i="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l="1"/>
  <c r="D32" i="1"/>
  <c r="F32" i="1"/>
  <c r="D33" i="1"/>
  <c r="K48" i="6"/>
  <c r="J53" i="6"/>
  <c r="O7" i="7" s="1"/>
  <c r="J52" i="6"/>
  <c r="O6" i="7" s="1"/>
  <c r="N46" i="6"/>
  <c r="N42" i="6"/>
  <c r="N44" i="6" s="1"/>
  <c r="D65" i="1" l="1"/>
  <c r="D66" i="1" s="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N48" i="6"/>
  <c r="M53" i="6"/>
  <c r="R7" i="7" s="1"/>
  <c r="M52" i="6"/>
  <c r="R6" i="7" s="1"/>
  <c r="F49" i="1" l="1"/>
  <c r="D44" i="1"/>
  <c r="F44" i="1" s="1"/>
  <c r="N53" i="6"/>
  <c r="S7" i="7" s="1"/>
  <c r="N52" i="6"/>
  <c r="S6" i="7" s="1"/>
</calcChain>
</file>

<file path=xl/sharedStrings.xml><?xml version="1.0" encoding="utf-8"?>
<sst xmlns="http://schemas.openxmlformats.org/spreadsheetml/2006/main" count="276" uniqueCount="234">
  <si>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</si>
  <si>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</si>
  <si>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</si>
  <si>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</si>
  <si>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</si>
  <si>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</si>
  <si>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</si>
  <si>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</si>
  <si>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</si>
  <si>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</si>
  <si>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</si>
  <si>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</si>
  <si>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</si>
  <si>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</si>
  <si>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</si>
  <si>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</si>
  <si>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</si>
  <si>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</si>
  <si>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</si>
  <si>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</si>
  <si>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</si>
  <si>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</si>
  <si>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</si>
  <si>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</si>
  <si>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</si>
  <si>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</si>
  <si>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</si>
  <si>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</si>
  <si>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</si>
  <si>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</si>
  <si>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</si>
  <si>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</si>
  <si>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</si>
  <si>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</si>
  <si>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</si>
  <si>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</si>
  <si>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</si>
  <si>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</si>
  <si>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</si>
  <si>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</si>
  <si>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</si>
  <si>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</si>
  <si>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</si>
  <si>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</si>
  <si>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</si>
  <si>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</si>
  <si>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</si>
  <si>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</si>
  <si>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</si>
  <si>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</si>
  <si>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</si>
  <si>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</si>
  <si>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</si>
  <si>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</si>
  <si>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</si>
  <si>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</si>
  <si>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</si>
  <si>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</si>
  <si>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</si>
  <si>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</si>
  <si>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</si>
  <si>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</si>
  <si>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</si>
  <si>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</si>
  <si>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</si>
  <si>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</si>
  <si>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</si>
  <si>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</si>
  <si>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</si>
  <si>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</si>
  <si>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</si>
  <si>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</si>
  <si>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</si>
  <si>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</si>
  <si>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</si>
  <si>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</si>
  <si>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</si>
  <si>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</si>
  <si>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</si>
  <si>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</si>
  <si>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</si>
  <si>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</si>
  <si>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</si>
  <si>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</si>
  <si>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</si>
  <si>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</si>
  <si>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</si>
  <si>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</si>
  <si>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</si>
  <si>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</si>
  <si>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</si>
  <si>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</si>
  <si>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</si>
  <si>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</si>
  <si>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</si>
  <si>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</si>
  <si>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</si>
  <si>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</si>
  <si>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</si>
  <si>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</si>
  <si>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</si>
  <si>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</si>
  <si>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</si>
  <si>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</si>
  <si>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</si>
  <si>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</si>
  <si>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</si>
  <si>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</si>
  <si>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</si>
  <si>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</si>
  <si>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</si>
  <si>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</si>
  <si>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</si>
  <si>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</si>
  <si>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</si>
  <si>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</si>
  <si>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</si>
  <si>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</si>
  <si>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</si>
  <si>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</si>
  <si>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</si>
  <si>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</si>
  <si>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</si>
  <si>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</si>
  <si>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</si>
  <si>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</si>
  <si>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</si>
  <si>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</si>
  <si>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</si>
  <si>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</si>
  <si>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</si>
  <si>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</si>
  <si>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</si>
  <si>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</si>
  <si>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</si>
  <si>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</si>
  <si>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</si>
  <si>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</si>
  <si>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</si>
  <si>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</si>
  <si>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</si>
  <si>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</si>
  <si>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</si>
  <si>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</si>
  <si>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</si>
  <si>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</si>
  <si>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</si>
  <si>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</si>
  <si>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</si>
  <si>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</si>
  <si>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</si>
  <si>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</si>
  <si>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</si>
  <si>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</si>
  <si>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</si>
  <si>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</si>
  <si>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</si>
  <si>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</si>
  <si>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</si>
  <si>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</si>
  <si>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</si>
  <si>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</si>
  <si>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</si>
  <si>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</si>
  <si>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</si>
  <si>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</si>
  <si>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</si>
  <si>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</si>
  <si>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</si>
  <si>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</si>
  <si>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</si>
  <si>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</si>
  <si>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</si>
  <si>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</si>
  <si>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</si>
  <si>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2012</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</si>
  <si>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</si>
  <si>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</si>
  <si>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</si>
  <si>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</si>
  <si>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</si>
  <si>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cash dividends that were paid to shareholders in the period.</t>
  </si>
  <si>
    <t xml:space="preserve">  6. Retained earnings on the balance sheet represents past profits that have been reinvested in the company.</t>
  </si>
  <si>
    <t xml:space="preserve">      a common-sized balance sheet.</t>
  </si>
  <si>
    <t xml:space="preserve">  9. Depreciation for a period is represented as a use of cash (a cash outflow) on the statement of cash flows.</t>
  </si>
  <si>
    <t xml:space="preserve"> 12. The book values of assets as shown on the balance sheet are not meant to be accurate </t>
  </si>
  <si>
    <t>Do not change anything on this page.</t>
  </si>
  <si>
    <t>Year</t>
  </si>
  <si>
    <t>Annual
Rate of
Return</t>
  </si>
  <si>
    <t>Price
Relative
Return</t>
  </si>
  <si>
    <t>Geometric Mean:</t>
  </si>
  <si>
    <t>using GEOMEAN function</t>
  </si>
  <si>
    <t>using direct calculation</t>
  </si>
  <si>
    <t>Stock
Price</t>
  </si>
  <si>
    <t xml:space="preserve">      its total value during the year.</t>
  </si>
  <si>
    <t xml:space="preserve">          for future investments.</t>
  </si>
  <si>
    <t>D</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</si>
  <si>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</si>
  <si>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</si>
  <si>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</si>
  <si>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b.</t>
    </r>
    <r>
      <rPr>
        <sz val="7"/>
        <color theme="1"/>
        <rFont val="Times New Roman"/>
        <family val="1"/>
      </rPr>
      <t xml:space="preserve">       </t>
    </r>
    <r>
      <rPr>
        <sz val="11"/>
        <color theme="1"/>
        <rFont val="Calibri"/>
        <family val="2"/>
        <scheme val="minor"/>
      </rPr>
      <t>Debt to assets ratio</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</si>
  <si>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</si>
  <si>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</si>
  <si>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14. The retained earnings account on the balance sheet shows the company's cash reserve</t>
  </si>
  <si>
    <t xml:space="preserve"> 15. The GEOMEAN function computes the geometric mean of a series of numbers, </t>
  </si>
  <si>
    <t xml:space="preserve">          but it only works correctly if all of the numbers are positive.</t>
  </si>
  <si>
    <t>Inputs for 2013</t>
  </si>
  <si>
    <r>
      <t xml:space="preserve">Note: 2013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</si>
  <si>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2012.</t>
  </si>
  <si>
    <t>2012-2013</t>
  </si>
  <si>
    <t>2013</t>
  </si>
  <si>
    <t>2012-13</t>
  </si>
  <si>
    <t>Complete the 2012 and 2013 Income Statements and Balance Sheets using</t>
  </si>
  <si>
    <t>Create the common size income statements and balance sheets for 2012 and 2013</t>
  </si>
  <si>
    <t xml:space="preserve">appropriately use the 2013 inputs. All computations should reflect any changes </t>
  </si>
  <si>
    <t>Created by Del on 9/22/2011
Modified by D Hawley on 9/22/2013
Modified by Del Hawley on 2/17/2014</t>
  </si>
  <si>
    <t>Created by Del on 9/22/2011
Modified by Del on 6/9/2012
Modified by D Hawley on 9/22/2013
Modified by Del Hawley on 2/17/2014</t>
  </si>
  <si>
    <t>Profit Margin</t>
  </si>
  <si>
    <t>XYZ Co. Financial Summary</t>
  </si>
  <si>
    <t>Example Picture</t>
  </si>
  <si>
    <t>Example Chart</t>
  </si>
  <si>
    <r>
      <t>1.</t>
    </r>
    <r>
      <rPr>
        <sz val="7"/>
        <color theme="1"/>
        <rFont val="Times New Roman"/>
        <family val="1"/>
      </rPr>
      <t xml:space="preserve">       </t>
    </r>
    <r>
      <rPr>
        <sz val="11"/>
        <color theme="1"/>
        <rFont val="Calibri"/>
        <family val="2"/>
        <scheme val="minor"/>
      </rPr>
      <t>The balance sheet:</t>
    </r>
  </si>
  <si>
    <r>
      <t>a.</t>
    </r>
    <r>
      <rPr>
        <sz val="7"/>
        <color theme="1"/>
        <rFont val="Times New Roman"/>
        <family val="1"/>
      </rPr>
      <t xml:space="preserve">      </t>
    </r>
    <r>
      <rPr>
        <sz val="11"/>
        <color theme="1"/>
        <rFont val="Calibri"/>
        <family val="2"/>
        <scheme val="minor"/>
      </rPr>
      <t>Shows the change in a firm's actual value over a period of time.</t>
    </r>
  </si>
  <si>
    <r>
      <t>a.</t>
    </r>
    <r>
      <rPr>
        <sz val="7"/>
        <color theme="1"/>
        <rFont val="Times New Roman"/>
        <family val="1"/>
      </rPr>
      <t xml:space="preserve">       </t>
    </r>
    <r>
      <rPr>
        <sz val="11"/>
        <color theme="1"/>
        <rFont val="Calibri"/>
        <family val="2"/>
        <scheme val="minor"/>
      </rPr>
      <t>A decrease in Accounts Payable on the balance sheet.</t>
    </r>
  </si>
  <si>
    <r>
      <t>b.</t>
    </r>
    <r>
      <rPr>
        <sz val="7"/>
        <color theme="1"/>
        <rFont val="Times New Roman"/>
        <family val="1"/>
      </rPr>
      <t xml:space="preserve">      </t>
    </r>
    <r>
      <rPr>
        <sz val="11"/>
        <color theme="1"/>
        <rFont val="Calibri"/>
        <family val="2"/>
        <scheme val="minor"/>
      </rPr>
      <t>An increase in Gross Fixed Assets on the balance sheet.</t>
    </r>
  </si>
  <si>
    <r>
      <t>d.</t>
    </r>
    <r>
      <rPr>
        <sz val="7"/>
        <color theme="1"/>
        <rFont val="Times New Roman"/>
        <family val="1"/>
      </rPr>
      <t xml:space="preserve">      </t>
    </r>
    <r>
      <rPr>
        <sz val="11"/>
        <color theme="1"/>
        <rFont val="Calibri"/>
        <family val="2"/>
        <scheme val="minor"/>
      </rPr>
      <t>Current Assets to Total Assets ratio</t>
    </r>
  </si>
  <si>
    <t>E</t>
  </si>
  <si>
    <t xml:space="preserve">  4. Visicalc was the first spreadsheet program ever to be marketed for personal computers.</t>
  </si>
  <si>
    <t xml:space="preserve">  5. The retained earnings entry on an income statement is the after-tax profit (net income) plus </t>
  </si>
  <si>
    <t xml:space="preserve">  7. The income statement is an accurate representation of the increase in</t>
  </si>
  <si>
    <t xml:space="preserve">  8. A financial statement with each item expressed as a percentage of total assets is called</t>
  </si>
  <si>
    <t xml:space="preserve"> 10. Net Income is the same as cash flow to shareholders.</t>
  </si>
  <si>
    <t xml:space="preserve"> 11. In the Statement of Cash Flows, an increase in any current asset would be represented as a use of cash.</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</si>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</sst>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 numFmtId="171" formatCode="0.0000000"/>
    <numFmt numFmtId="172" formatCode="0.000000000000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sz val="16"/>
      <color rgb="FFFF0000"/>
      <name val="Calibri"/>
      <family val="2"/>
      <scheme val="minor"/>
    </font>
    <font>
      <b/>
      <sz val="11"/>
      <color theme="0" tint="-4.9989318521683403E-2"/>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sz val="22"/>
      <color rgb="FFFFFF00"/>
      <name val="Calibri"/>
      <family val="2"/>
      <scheme val="minor"/>
    </font>
    <font>
      <b/>
      <sz val="18"/>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4" tint="0.79998168889431442"/>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82">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24" xfId="0" applyFont="1" applyBorder="1" applyAlignment="1">
      <alignment horizontal="center" vertical="center"/>
    </xf>
    <xf numFmtId="0" fontId="0" fillId="0" borderId="0" xfId="0"/>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7" fillId="0" borderId="0" xfId="0" applyFont="1"/>
    <xf numFmtId="0" fontId="3" fillId="9" borderId="16"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0" borderId="23" xfId="0" applyFont="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18" xfId="0" applyNumberFormat="1" applyBorder="1" applyAlignment="1">
      <alignment horizontal="center"/>
    </xf>
    <xf numFmtId="168" fontId="0" fillId="0" borderId="19" xfId="1" applyNumberFormat="1" applyFont="1" applyBorder="1"/>
    <xf numFmtId="0" fontId="0" fillId="0" borderId="20" xfId="0" applyNumberFormat="1" applyBorder="1" applyAlignment="1">
      <alignment horizontal="center"/>
    </xf>
    <xf numFmtId="44" fontId="0" fillId="0" borderId="25" xfId="0" applyNumberFormat="1" applyBorder="1"/>
    <xf numFmtId="10" fontId="0" fillId="0" borderId="25" xfId="3" applyNumberFormat="1" applyFont="1" applyBorder="1"/>
    <xf numFmtId="168" fontId="0" fillId="0" borderId="21" xfId="1" applyNumberFormat="1" applyFont="1" applyBorder="1"/>
    <xf numFmtId="0" fontId="0" fillId="0" borderId="22" xfId="0" applyNumberFormat="1" applyBorder="1" applyAlignment="1">
      <alignment horizontal="center"/>
    </xf>
    <xf numFmtId="44" fontId="0" fillId="0" borderId="26" xfId="0" applyNumberFormat="1" applyBorder="1"/>
    <xf numFmtId="44" fontId="0" fillId="10" borderId="26" xfId="0" applyNumberFormat="1" applyFill="1" applyBorder="1"/>
    <xf numFmtId="44" fontId="18" fillId="11" borderId="27" xfId="0" applyNumberFormat="1" applyFont="1" applyFill="1" applyBorder="1" applyAlignment="1">
      <alignment horizontal="center" vertical="center"/>
    </xf>
    <xf numFmtId="44" fontId="18" fillId="11" borderId="28" xfId="0" applyNumberFormat="1" applyFont="1" applyFill="1" applyBorder="1" applyAlignment="1">
      <alignment horizontal="center" vertical="center" wrapText="1"/>
    </xf>
    <xf numFmtId="44" fontId="18"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43" fontId="7" fillId="0" borderId="0" xfId="0" quotePrefix="1" applyNumberFormat="1" applyFont="1" applyAlignment="1">
      <alignment horizontal="center"/>
    </xf>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19" fillId="5" borderId="14" xfId="0" applyFont="1" applyFill="1" applyBorder="1" applyAlignment="1">
      <alignment horizontal="left"/>
    </xf>
    <xf numFmtId="0" fontId="19" fillId="5" borderId="6" xfId="0" applyFont="1" applyFill="1" applyBorder="1" applyAlignment="1">
      <alignment horizontal="left"/>
    </xf>
    <xf numFmtId="0" fontId="20" fillId="6" borderId="0" xfId="0" applyFont="1" applyFill="1" applyBorder="1" applyAlignment="1">
      <alignment horizontal="left"/>
    </xf>
    <xf numFmtId="0" fontId="21" fillId="6" borderId="15" xfId="0" applyFont="1" applyFill="1" applyBorder="1" applyAlignment="1">
      <alignment horizontal="left"/>
    </xf>
    <xf numFmtId="0" fontId="20" fillId="6" borderId="1" xfId="0" applyFont="1" applyFill="1" applyBorder="1" applyAlignment="1">
      <alignment horizontal="left"/>
    </xf>
    <xf numFmtId="171" fontId="0" fillId="0" borderId="0" xfId="0" applyNumberFormat="1"/>
    <xf numFmtId="172" fontId="0" fillId="0" borderId="0" xfId="0" applyNumberFormat="1"/>
    <xf numFmtId="42" fontId="0" fillId="0" borderId="4" xfId="0" applyNumberFormat="1" applyBorder="1" applyAlignment="1">
      <alignment vertical="center"/>
    </xf>
    <xf numFmtId="169" fontId="0" fillId="0" borderId="19" xfId="3" applyNumberFormat="1" applyFont="1" applyBorder="1" applyAlignment="1">
      <alignment horizontal="center" vertical="center"/>
    </xf>
    <xf numFmtId="42" fontId="0" fillId="0" borderId="25" xfId="0" applyNumberFormat="1" applyBorder="1" applyAlignment="1">
      <alignment vertical="center"/>
    </xf>
    <xf numFmtId="169" fontId="0" fillId="0" borderId="21" xfId="3" applyNumberFormat="1" applyFont="1" applyBorder="1" applyAlignment="1">
      <alignment horizontal="center" vertical="center"/>
    </xf>
    <xf numFmtId="0" fontId="3" fillId="0" borderId="16" xfId="0" applyNumberFormat="1" applyFont="1" applyBorder="1" applyAlignment="1">
      <alignment horizontal="center" vertical="center"/>
    </xf>
    <xf numFmtId="42" fontId="0" fillId="0" borderId="30" xfId="0" applyNumberFormat="1" applyBorder="1" applyAlignment="1">
      <alignment vertical="center"/>
    </xf>
    <xf numFmtId="169" fontId="0" fillId="0" borderId="17" xfId="3"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20" xfId="0" applyNumberFormat="1" applyFont="1" applyBorder="1" applyAlignment="1">
      <alignment horizontal="center" vertical="center"/>
    </xf>
    <xf numFmtId="42" fontId="23" fillId="12" borderId="27" xfId="0" applyNumberFormat="1" applyFont="1" applyFill="1" applyBorder="1" applyAlignment="1">
      <alignment horizontal="center" vertical="center"/>
    </xf>
    <xf numFmtId="42" fontId="23" fillId="12" borderId="28" xfId="0" applyNumberFormat="1" applyFont="1" applyFill="1" applyBorder="1" applyAlignment="1">
      <alignment horizontal="center" vertical="center"/>
    </xf>
    <xf numFmtId="42" fontId="23" fillId="12" borderId="29" xfId="0" applyNumberFormat="1"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0" fontId="6" fillId="0" borderId="0" xfId="0" applyFont="1" applyAlignment="1">
      <alignment horizontal="center"/>
    </xf>
    <xf numFmtId="42" fontId="22" fillId="8" borderId="27" xfId="0" applyNumberFormat="1" applyFont="1" applyFill="1" applyBorder="1" applyAlignment="1">
      <alignment horizontal="center" vertical="center"/>
    </xf>
    <xf numFmtId="42" fontId="22" fillId="8" borderId="28" xfId="0" applyNumberFormat="1" applyFont="1" applyFill="1" applyBorder="1" applyAlignment="1">
      <alignment horizontal="center" vertical="center"/>
    </xf>
    <xf numFmtId="42" fontId="22" fillId="8" borderId="29"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3" fillId="2" borderId="3" xfId="0" applyFont="1" applyFill="1" applyBorder="1" applyAlignment="1">
      <alignment horizontal="center"/>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layout/>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-25443.5</c:v>
                </c:pt>
                <c:pt idx="4">
                  <c:v>-17423.5</c:v>
                </c:pt>
                <c:pt idx="5">
                  <c:v>-9373.5</c:v>
                </c:pt>
                <c:pt idx="6">
                  <c:v>-3573.5</c:v>
                </c:pt>
                <c:pt idx="7">
                  <c:v>0</c:v>
                </c:pt>
                <c:pt idx="8">
                  <c:v>0</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2393</c:v>
                </c:pt>
                <c:pt idx="1">
                  <c:v>10877.75</c:v>
                </c:pt>
                <c:pt idx="2">
                  <c:v>18171.5</c:v>
                </c:pt>
                <c:pt idx="3">
                  <c:v>0</c:v>
                </c:pt>
                <c:pt idx="4">
                  <c:v>0</c:v>
                </c:pt>
                <c:pt idx="5">
                  <c:v>0</c:v>
                </c:pt>
                <c:pt idx="6">
                  <c:v>0</c:v>
                </c:pt>
                <c:pt idx="7">
                  <c:v>1401.5</c:v>
                </c:pt>
                <c:pt idx="8">
                  <c:v>5806.5</c:v>
                </c:pt>
              </c:numCache>
            </c:numRef>
          </c:val>
        </c:ser>
        <c:dLbls>
          <c:showLegendKey val="0"/>
          <c:showVal val="0"/>
          <c:showCatName val="0"/>
          <c:showSerName val="0"/>
          <c:showPercent val="0"/>
          <c:showBubbleSize val="0"/>
        </c:dLbls>
        <c:gapWidth val="150"/>
        <c:axId val="-280208288"/>
        <c:axId val="-280220800"/>
      </c:barChart>
      <c:catAx>
        <c:axId val="-280208288"/>
        <c:scaling>
          <c:orientation val="minMax"/>
        </c:scaling>
        <c:delete val="0"/>
        <c:axPos val="b"/>
        <c:numFmt formatCode="General" sourceLinked="0"/>
        <c:majorTickMark val="none"/>
        <c:minorTickMark val="none"/>
        <c:tickLblPos val="nextTo"/>
        <c:txPr>
          <a:bodyPr/>
          <a:lstStyle/>
          <a:p>
            <a:pPr>
              <a:defRPr b="1"/>
            </a:pPr>
            <a:endParaRPr lang="en-US"/>
          </a:p>
        </c:txPr>
        <c:crossAx val="-280220800"/>
        <c:crosses val="autoZero"/>
        <c:auto val="1"/>
        <c:lblAlgn val="ctr"/>
        <c:lblOffset val="100"/>
        <c:noMultiLvlLbl val="0"/>
      </c:catAx>
      <c:valAx>
        <c:axId val="-280220800"/>
        <c:scaling>
          <c:orientation val="minMax"/>
          <c:max val="40000"/>
          <c:min val="-30000"/>
        </c:scaling>
        <c:delete val="0"/>
        <c:axPos val="l"/>
        <c:majorGridlines/>
        <c:numFmt formatCode="&quot;$&quot;#,##0" sourceLinked="0"/>
        <c:majorTickMark val="none"/>
        <c:minorTickMark val="none"/>
        <c:tickLblPos val="nextTo"/>
        <c:txPr>
          <a:bodyPr/>
          <a:lstStyle/>
          <a:p>
            <a:pPr>
              <a:defRPr b="1"/>
            </a:pPr>
            <a:endParaRPr lang="en-US"/>
          </a:p>
        </c:txPr>
        <c:crossAx val="-280208288"/>
        <c:crosses val="autoZero"/>
        <c:crossBetween val="between"/>
        <c:majorUnit val="500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XYZ Net Income and Profit Margin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469381327334083"/>
          <c:y val="0.16689818396977835"/>
          <c:w val="0.81851837270341199"/>
          <c:h val="0.67643332930068401"/>
        </c:manualLayout>
      </c:layout>
      <c:lineChart>
        <c:grouping val="standard"/>
        <c:varyColors val="0"/>
        <c:ser>
          <c:idx val="1"/>
          <c:order val="0"/>
          <c:tx>
            <c:strRef>
              <c:f>'Prob 5 - 12 Pts'!$D$7</c:f>
              <c:strCache>
                <c:ptCount val="1"/>
                <c:pt idx="0">
                  <c:v>Net Income</c:v>
                </c:pt>
              </c:strCache>
            </c:strRef>
          </c:tx>
          <c:spPr>
            <a:ln w="28575" cap="rnd">
              <a:solidFill>
                <a:schemeClr val="accent2"/>
              </a:solidFill>
              <a:round/>
            </a:ln>
            <a:effectLst/>
          </c:spPr>
          <c:marker>
            <c:symbol val="none"/>
          </c:marker>
          <c:cat>
            <c:numRef>
              <c:f>'Prob 5 - 12 Pts'!$B$8:$B$17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'Prob 5 - 12 Pts'!$D$8:$D$17</c:f>
              <c:numCache>
                <c:formatCode>_("$"* #,##0_);_("$"* \(#,##0\);_("$"* "-"_);_(@_)</c:formatCode>
                <c:ptCount val="10"/>
                <c:pt idx="0">
                  <c:v>2000</c:v>
                </c:pt>
                <c:pt idx="1">
                  <c:v>2100</c:v>
                </c:pt>
                <c:pt idx="2">
                  <c:v>2000</c:v>
                </c:pt>
                <c:pt idx="3">
                  <c:v>2200</c:v>
                </c:pt>
                <c:pt idx="4">
                  <c:v>2310</c:v>
                </c:pt>
                <c:pt idx="5">
                  <c:v>2400</c:v>
                </c:pt>
                <c:pt idx="6">
                  <c:v>2600</c:v>
                </c:pt>
                <c:pt idx="7">
                  <c:v>2700</c:v>
                </c:pt>
                <c:pt idx="8">
                  <c:v>2850</c:v>
                </c:pt>
                <c:pt idx="9">
                  <c:v>3100</c:v>
                </c:pt>
              </c:numCache>
            </c:numRef>
          </c:val>
          <c:smooth val="0"/>
        </c:ser>
        <c:dLbls>
          <c:showLegendKey val="0"/>
          <c:showVal val="0"/>
          <c:showCatName val="0"/>
          <c:showSerName val="0"/>
          <c:showPercent val="0"/>
          <c:showBubbleSize val="0"/>
        </c:dLbls>
        <c:marker val="1"/>
        <c:smooth val="0"/>
        <c:axId val="-280222432"/>
        <c:axId val="-280218080"/>
      </c:lineChart>
      <c:lineChart>
        <c:grouping val="standard"/>
        <c:varyColors val="0"/>
        <c:ser>
          <c:idx val="2"/>
          <c:order val="1"/>
          <c:tx>
            <c:strRef>
              <c:f>'Prob 5 - 12 Pts'!$E$7</c:f>
              <c:strCache>
                <c:ptCount val="1"/>
                <c:pt idx="0">
                  <c:v>Profit Margin</c:v>
                </c:pt>
              </c:strCache>
            </c:strRef>
          </c:tx>
          <c:spPr>
            <a:ln w="28575" cap="rnd">
              <a:solidFill>
                <a:srgbClr val="002060"/>
              </a:solidFill>
              <a:round/>
            </a:ln>
            <a:effectLst/>
          </c:spPr>
          <c:marker>
            <c:symbol val="none"/>
          </c:marker>
          <c:cat>
            <c:numRef>
              <c:f>'Prob 5 - 12 Pts'!$B$8:$B$17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'Prob 5 - 12 Pts'!$E$8:$E$17</c:f>
              <c:numCache>
                <c:formatCode>0.000%</c:formatCode>
                <c:ptCount val="10"/>
                <c:pt idx="0">
                  <c:v>3.0769230769230771E-2</c:v>
                </c:pt>
                <c:pt idx="1">
                  <c:v>3.0882352941176472E-2</c:v>
                </c:pt>
                <c:pt idx="2">
                  <c:v>2.8776978417266189E-2</c:v>
                </c:pt>
                <c:pt idx="3">
                  <c:v>3.0555555555555555E-2</c:v>
                </c:pt>
                <c:pt idx="4">
                  <c:v>3.0474934036939315E-2</c:v>
                </c:pt>
                <c:pt idx="5">
                  <c:v>2.9126213592233011E-2</c:v>
                </c:pt>
                <c:pt idx="6">
                  <c:v>3.0373831775700934E-2</c:v>
                </c:pt>
                <c:pt idx="7">
                  <c:v>3.0337078651685393E-2</c:v>
                </c:pt>
                <c:pt idx="8">
                  <c:v>2.996845425867508E-2</c:v>
                </c:pt>
                <c:pt idx="9">
                  <c:v>3.1632653061224487E-2</c:v>
                </c:pt>
              </c:numCache>
            </c:numRef>
          </c:val>
          <c:smooth val="0"/>
        </c:ser>
        <c:dLbls>
          <c:showLegendKey val="0"/>
          <c:showVal val="0"/>
          <c:showCatName val="0"/>
          <c:showSerName val="0"/>
          <c:showPercent val="0"/>
          <c:showBubbleSize val="0"/>
        </c:dLbls>
        <c:marker val="1"/>
        <c:smooth val="0"/>
        <c:axId val="-280216992"/>
        <c:axId val="-280220256"/>
      </c:lineChart>
      <c:catAx>
        <c:axId val="-28022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218080"/>
        <c:crosses val="autoZero"/>
        <c:auto val="1"/>
        <c:lblAlgn val="ctr"/>
        <c:lblOffset val="100"/>
        <c:noMultiLvlLbl val="0"/>
      </c:catAx>
      <c:valAx>
        <c:axId val="-2802180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80222432"/>
        <c:crosses val="autoZero"/>
        <c:crossBetween val="between"/>
      </c:valAx>
      <c:valAx>
        <c:axId val="-280220256"/>
        <c:scaling>
          <c:orientation val="minMax"/>
          <c:max val="3.5000000000000003E-2"/>
          <c:min val="2.5000000000000005E-2"/>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80216992"/>
        <c:crosses val="max"/>
        <c:crossBetween val="between"/>
        <c:majorUnit val="2.0000000000000005E-3"/>
      </c:valAx>
      <c:catAx>
        <c:axId val="-280216992"/>
        <c:scaling>
          <c:orientation val="minMax"/>
        </c:scaling>
        <c:delete val="1"/>
        <c:axPos val="b"/>
        <c:numFmt formatCode="General" sourceLinked="1"/>
        <c:majorTickMark val="out"/>
        <c:minorTickMark val="none"/>
        <c:tickLblPos val="nextTo"/>
        <c:crossAx val="-280220256"/>
        <c:crosses val="autoZero"/>
        <c:auto val="1"/>
        <c:lblAlgn val="ctr"/>
        <c:lblOffset val="100"/>
        <c:noMultiLvlLbl val="0"/>
      </c:catAx>
      <c:spPr>
        <a:noFill/>
        <a:ln>
          <a:noFill/>
        </a:ln>
        <a:effectLst/>
      </c:spPr>
    </c:plotArea>
    <c:legend>
      <c:legendPos val="b"/>
      <c:layout>
        <c:manualLayout>
          <c:xMode val="edge"/>
          <c:yMode val="edge"/>
          <c:x val="0.3505175853018373"/>
          <c:y val="0.91905588593384957"/>
          <c:w val="0.30917876932050159"/>
          <c:h val="4.0322855281262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91</xdr:row>
      <xdr:rowOff>9525</xdr:rowOff>
    </xdr:to>
    <xdr:sp macro="" textlink="">
      <xdr:nvSpPr>
        <xdr:cNvPr id="4" name="Rounded Rectangle 3"/>
        <xdr:cNvSpPr/>
      </xdr:nvSpPr>
      <xdr:spPr>
        <a:xfrm>
          <a:off x="6308861" y="14851546"/>
          <a:ext cx="2109581" cy="339835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2013)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40%, Collect1 = 15%, and Collect2 = 45%, the NORMAL scenario will use the base case collection rates given here, and the BAD scenario will use Collect0 = 20%, Collect1 = 15%, and Collect2 = 65%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$40,000 and the minimum to -$30,000 with major unit divisions set to $5,000.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200025</xdr:colOff>
      <xdr:row>21</xdr:row>
      <xdr:rowOff>9524</xdr:rowOff>
    </xdr:from>
    <xdr:to>
      <xdr:col>5</xdr:col>
      <xdr:colOff>276225</xdr:colOff>
      <xdr:row>41</xdr:row>
      <xdr:rowOff>190499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5143499"/>
          <a:ext cx="5600700" cy="3990975"/>
        </a:xfrm>
        <a:prstGeom prst="rect">
          <a:avLst/>
        </a:prstGeom>
        <a:solidFill>
          <a:schemeClr val="bg1"/>
        </a:solidFill>
        <a:ln>
          <a:noFill/>
        </a:ln>
      </xdr:spPr>
    </xdr:pic>
    <xdr:clientData/>
  </xdr:twoCellAnchor>
  <xdr:twoCellAnchor>
    <xdr:from>
      <xdr:col>1</xdr:col>
      <xdr:colOff>200026</xdr:colOff>
      <xdr:row>43</xdr:row>
      <xdr:rowOff>0</xdr:rowOff>
    </xdr:from>
    <xdr:to>
      <xdr:col>9</xdr:col>
      <xdr:colOff>361950</xdr:colOff>
      <xdr:row>57</xdr:row>
      <xdr:rowOff>180975</xdr:rowOff>
    </xdr:to>
    <xdr:sp macro="" textlink="">
      <xdr:nvSpPr>
        <xdr:cNvPr id="3" name="TextBox 2"/>
        <xdr:cNvSpPr txBox="1"/>
      </xdr:nvSpPr>
      <xdr:spPr>
        <a:xfrm>
          <a:off x="542926" y="9324975"/>
          <a:ext cx="5705474" cy="2847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Title</a:t>
          </a:r>
          <a:r>
            <a:rPr lang="en-US" sz="1600" b="1" baseline="0"/>
            <a:t> row is 50 pixels tall</a:t>
          </a:r>
        </a:p>
        <a:p>
          <a:endParaRPr lang="en-US" sz="1600" b="1" baseline="0"/>
        </a:p>
        <a:p>
          <a:r>
            <a:rPr lang="en-US" sz="1600" b="1" baseline="0"/>
            <a:t>All other rows are 25 pixels tall.</a:t>
          </a:r>
        </a:p>
        <a:p>
          <a:endParaRPr lang="en-US" sz="1600" b="1" baseline="0"/>
        </a:p>
        <a:p>
          <a:r>
            <a:rPr lang="en-US" sz="1600" b="1" baseline="0"/>
            <a:t>Columns are 20 characters wide.</a:t>
          </a:r>
        </a:p>
        <a:p>
          <a:endParaRPr lang="en-US" sz="1600" b="1" baseline="0"/>
        </a:p>
        <a:p>
          <a:r>
            <a:rPr lang="en-US" sz="1600" b="1" baseline="0"/>
            <a:t>Font in the 2nd row is 18 pt. Font in title row is 22 pt.</a:t>
          </a:r>
        </a:p>
        <a:p>
          <a:endParaRPr lang="en-US" sz="1600" b="1" baseline="0"/>
        </a:p>
        <a:p>
          <a:r>
            <a:rPr lang="en-US" sz="1600" b="1" baseline="0"/>
            <a:t>Don't worry about wether the cell borders are thick or thin. That doesn't carry over will when a image is copied.</a:t>
          </a:r>
          <a:endParaRPr lang="en-US" sz="1600" b="1"/>
        </a:p>
      </xdr:txBody>
    </xdr:sp>
    <xdr:clientData/>
  </xdr:twoCellAnchor>
  <xdr:twoCellAnchor>
    <xdr:from>
      <xdr:col>0</xdr:col>
      <xdr:colOff>266701</xdr:colOff>
      <xdr:row>0</xdr:row>
      <xdr:rowOff>152399</xdr:rowOff>
    </xdr:from>
    <xdr:to>
      <xdr:col>5</xdr:col>
      <xdr:colOff>95250</xdr:colOff>
      <xdr:row>2</xdr:row>
      <xdr:rowOff>457200</xdr:rowOff>
    </xdr:to>
    <xdr:sp macro="" textlink="">
      <xdr:nvSpPr>
        <xdr:cNvPr id="4" name="TextBox 3"/>
        <xdr:cNvSpPr txBox="1"/>
      </xdr:nvSpPr>
      <xdr:spPr>
        <a:xfrm>
          <a:off x="266701" y="152399"/>
          <a:ext cx="5695949" cy="12763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1. Format the data</a:t>
          </a:r>
          <a:r>
            <a:rPr lang="en-US" sz="1100" b="1" baseline="0"/>
            <a:t> in Rows 6-17 to match as closely as possible the example picture that is provided below the data. Note the additional information that is provided below the picture.</a:t>
          </a:r>
        </a:p>
        <a:p>
          <a:r>
            <a:rPr lang="en-US" sz="1100" b="1" baseline="0"/>
            <a:t>2. In the space to the right, create a line chart like the example picture that shows Net Income on the left vertical axis, profit margin (shown as percentages) on the right verical axis, and the year on the horizonal axis. Format the chart like the example chart picture below.</a:t>
          </a:r>
          <a:endParaRPr lang="en-US" sz="1100" b="1"/>
        </a:p>
      </xdr:txBody>
    </xdr:sp>
    <xdr:clientData/>
  </xdr:twoCellAnchor>
  <xdr:twoCellAnchor editAs="oneCell">
    <xdr:from>
      <xdr:col>10</xdr:col>
      <xdr:colOff>142875</xdr:colOff>
      <xdr:row>21</xdr:row>
      <xdr:rowOff>9525</xdr:rowOff>
    </xdr:from>
    <xdr:to>
      <xdr:col>19</xdr:col>
      <xdr:colOff>342900</xdr:colOff>
      <xdr:row>42</xdr:row>
      <xdr:rowOff>28574</xdr:rowOff>
    </xdr:to>
    <xdr:pic>
      <xdr:nvPicPr>
        <xdr:cNvPr id="5" name="Picture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8925" y="5143500"/>
          <a:ext cx="5686425" cy="4019549"/>
        </a:xfrm>
        <a:prstGeom prst="rect">
          <a:avLst/>
        </a:prstGeom>
        <a:noFill/>
      </xdr:spPr>
    </xdr:pic>
    <xdr:clientData/>
  </xdr:twoCellAnchor>
  <xdr:twoCellAnchor>
    <xdr:from>
      <xdr:col>6</xdr:col>
      <xdr:colOff>190500</xdr:colOff>
      <xdr:row>0</xdr:row>
      <xdr:rowOff>304799</xdr:rowOff>
    </xdr:from>
    <xdr:to>
      <xdr:col>17</xdr:col>
      <xdr:colOff>247650</xdr:colOff>
      <xdr:row>15</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133350</xdr:colOff>
      <xdr:row>26</xdr:row>
      <xdr:rowOff>76200</xdr:rowOff>
    </xdr:from>
    <xdr:to>
      <xdr:col>24</xdr:col>
      <xdr:colOff>28575</xdr:colOff>
      <xdr:row>34</xdr:row>
      <xdr:rowOff>38100</xdr:rowOff>
    </xdr:to>
    <xdr:sp macro="" textlink="">
      <xdr:nvSpPr>
        <xdr:cNvPr id="7" name="Line Callout 1 6"/>
        <xdr:cNvSpPr/>
      </xdr:nvSpPr>
      <xdr:spPr>
        <a:xfrm>
          <a:off x="15240000" y="7867650"/>
          <a:ext cx="2333625" cy="1485900"/>
        </a:xfrm>
        <a:prstGeom prst="borderCallout1">
          <a:avLst>
            <a:gd name="adj1" fmla="val 18750"/>
            <a:gd name="adj2" fmla="val -8333"/>
            <a:gd name="adj3" fmla="val 16346"/>
            <a:gd name="adj4" fmla="val -146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solidFill>
            </a:rPr>
            <a:t>Note the limits</a:t>
          </a:r>
          <a:r>
            <a:rPr lang="en-US" sz="1400" b="1" baseline="0">
              <a:solidFill>
                <a:schemeClr val="tx1"/>
              </a:solidFill>
            </a:rPr>
            <a:t> on the right axis are 2.5% and 3.5% and that the major increments are 0.2%.</a:t>
          </a:r>
          <a:endParaRPr lang="en-US" sz="14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9441" y="212912"/>
          <a:ext cx="7754471" cy="1792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zoomScale="145" zoomScaleNormal="145" workbookViewId="0">
      <selection activeCell="K12" sqref="K12"/>
    </sheetView>
  </sheetViews>
  <sheetFormatPr defaultRowHeight="15" x14ac:dyDescent="0.25"/>
  <cols>
    <col min="1" max="1" width="3.140625" customWidth="1"/>
    <col min="2" max="2" width="4.5703125" customWidth="1"/>
  </cols>
  <sheetData>
    <row r="2" spans="2:2" ht="18.600000000000001" x14ac:dyDescent="0.45">
      <c r="B2" s="53" t="s">
        <v>111</v>
      </c>
    </row>
    <row r="3" spans="2:2" ht="18.600000000000001" x14ac:dyDescent="0.45">
      <c r="B3" s="53" t="s">
        <v>112</v>
      </c>
    </row>
    <row r="4" spans="2:2" ht="18.600000000000001" x14ac:dyDescent="0.45">
      <c r="B4" s="53" t="s">
        <v>113</v>
      </c>
    </row>
    <row r="5" spans="2:2" ht="11.1" customHeight="1" x14ac:dyDescent="0.45">
      <c r="B5" s="53"/>
    </row>
    <row r="6" spans="2:2" ht="18.600000000000001" x14ac:dyDescent="0.45">
      <c r="B6" s="53" t="s">
        <v>114</v>
      </c>
    </row>
    <row r="7" spans="2:2" ht="18.600000000000001" x14ac:dyDescent="0.45">
      <c r="B7" s="53" t="s">
        <v>132</v>
      </c>
    </row>
    <row r="8" spans="2:2" ht="11.1" customHeight="1" x14ac:dyDescent="0.45">
      <c r="B8" s="53"/>
    </row>
    <row r="9" spans="2:2" s="52" customFormat="1" ht="18.600000000000001" x14ac:dyDescent="0.45">
      <c r="B9" s="53" t="s">
        <v>117</v>
      </c>
    </row>
    <row r="10" spans="2:2" s="52" customFormat="1" ht="18.600000000000001" x14ac:dyDescent="0.45">
      <c r="B10" s="53" t="s">
        <v>118</v>
      </c>
    </row>
    <row r="11" spans="2:2" s="52" customFormat="1" ht="18.600000000000001" x14ac:dyDescent="0.45">
      <c r="B11" s="53" t="s">
        <v>119</v>
      </c>
    </row>
    <row r="12" spans="2:2" ht="14.1" customHeight="1" x14ac:dyDescent="0.45">
      <c r="B12" s="53"/>
    </row>
    <row r="13" spans="2:2" ht="14.45" x14ac:dyDescent="0.35">
      <c r="B13" s="52" t="s">
        <v>133</v>
      </c>
    </row>
    <row r="14" spans="2:2" ht="8.4499999999999993" customHeight="1" x14ac:dyDescent="0.3">
      <c r="B14" s="53"/>
    </row>
    <row r="15" spans="2:2" x14ac:dyDescent="0.25">
      <c r="B15" s="52" t="s">
        <v>115</v>
      </c>
    </row>
    <row r="16" spans="2:2" ht="6" customHeight="1" x14ac:dyDescent="0.25">
      <c r="B16" s="52"/>
    </row>
    <row r="17" spans="2:3" x14ac:dyDescent="0.25">
      <c r="B17" s="52" t="s">
        <v>116</v>
      </c>
    </row>
    <row r="18" spans="2:3" x14ac:dyDescent="0.25">
      <c r="B18" s="52"/>
    </row>
    <row r="19" spans="2:3" s="54" customFormat="1" x14ac:dyDescent="0.25">
      <c r="B19" s="54" t="s">
        <v>134</v>
      </c>
    </row>
    <row r="20" spans="2:3" s="54" customFormat="1" x14ac:dyDescent="0.25">
      <c r="B20" s="54" t="s">
        <v>176</v>
      </c>
    </row>
    <row r="21" spans="2:3" s="54" customFormat="1" x14ac:dyDescent="0.25">
      <c r="B21" s="54" t="s">
        <v>135</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136</v>
      </c>
    </row>
    <row r="28" spans="2:3" s="52" customFormat="1" ht="18.75" x14ac:dyDescent="0.3">
      <c r="C28" s="55"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abSelected="1" zoomScaleNormal="100" workbookViewId="0">
      <selection activeCell="B8" sqref="B8"/>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thickBot="1" x14ac:dyDescent="0.35">
      <c r="B1" s="1"/>
      <c r="C1" s="1"/>
      <c r="D1" s="1"/>
    </row>
    <row r="2" spans="2:12" s="3" customFormat="1" ht="24" customHeight="1" thickBot="1" x14ac:dyDescent="0.4">
      <c r="B2" s="169" t="s">
        <v>206</v>
      </c>
      <c r="C2" s="169"/>
      <c r="D2" s="169"/>
      <c r="I2" s="76"/>
      <c r="J2" s="77"/>
      <c r="K2" s="78"/>
      <c r="L2" s="79"/>
    </row>
    <row r="3" spans="2:12" s="3" customFormat="1" ht="18.75" customHeight="1" x14ac:dyDescent="0.25">
      <c r="B3" s="4" t="s">
        <v>0</v>
      </c>
      <c r="C3" s="4"/>
      <c r="D3" s="140">
        <v>0.35</v>
      </c>
      <c r="I3" s="80"/>
      <c r="J3" s="81" t="s">
        <v>65</v>
      </c>
      <c r="K3" s="82" t="s">
        <v>212</v>
      </c>
      <c r="L3" s="83"/>
    </row>
    <row r="4" spans="2:12" s="3" customFormat="1" x14ac:dyDescent="0.25">
      <c r="B4" s="4" t="s">
        <v>1</v>
      </c>
      <c r="C4" s="4"/>
      <c r="D4" s="141">
        <v>750000</v>
      </c>
      <c r="I4" s="80"/>
      <c r="J4" s="84"/>
      <c r="K4" s="82" t="s">
        <v>66</v>
      </c>
      <c r="L4" s="83"/>
    </row>
    <row r="5" spans="2:12" s="3" customFormat="1" x14ac:dyDescent="0.25">
      <c r="B5" s="4" t="s">
        <v>12</v>
      </c>
      <c r="C5" s="4"/>
      <c r="D5" s="142">
        <v>3950000</v>
      </c>
      <c r="I5" s="80"/>
      <c r="J5" s="84"/>
      <c r="K5" s="82" t="s">
        <v>214</v>
      </c>
      <c r="L5" s="83"/>
    </row>
    <row r="6" spans="2:12" s="3" customFormat="1" x14ac:dyDescent="0.25">
      <c r="B6" s="4" t="s">
        <v>2</v>
      </c>
      <c r="C6" s="4"/>
      <c r="D6" s="142">
        <v>600000</v>
      </c>
      <c r="I6" s="80"/>
      <c r="J6" s="84"/>
      <c r="K6" s="82" t="s">
        <v>68</v>
      </c>
      <c r="L6" s="83"/>
    </row>
    <row r="7" spans="2:12" s="57" customFormat="1" x14ac:dyDescent="0.25">
      <c r="B7" s="4" t="s">
        <v>4</v>
      </c>
      <c r="C7" s="4"/>
      <c r="D7" s="142">
        <v>125000</v>
      </c>
      <c r="I7" s="80"/>
      <c r="J7" s="82"/>
      <c r="K7" s="82"/>
      <c r="L7" s="83"/>
    </row>
    <row r="8" spans="2:12" s="57" customFormat="1" x14ac:dyDescent="0.25">
      <c r="B8" s="4" t="s">
        <v>5</v>
      </c>
      <c r="C8" s="4"/>
      <c r="D8" s="142">
        <v>135000</v>
      </c>
      <c r="I8" s="80"/>
      <c r="J8" s="81" t="s">
        <v>67</v>
      </c>
      <c r="K8" s="82" t="s">
        <v>213</v>
      </c>
      <c r="L8" s="83"/>
    </row>
    <row r="9" spans="2:12" s="3" customFormat="1" x14ac:dyDescent="0.25">
      <c r="B9" s="4" t="s">
        <v>3</v>
      </c>
      <c r="C9" s="4"/>
      <c r="D9" s="142">
        <v>120000</v>
      </c>
      <c r="I9" s="80"/>
      <c r="J9" s="84"/>
      <c r="K9" s="82" t="s">
        <v>69</v>
      </c>
      <c r="L9" s="83"/>
    </row>
    <row r="10" spans="2:12" s="3" customFormat="1" x14ac:dyDescent="0.25">
      <c r="B10" s="4" t="s">
        <v>7</v>
      </c>
      <c r="C10" s="4"/>
      <c r="D10" s="142">
        <v>1530000</v>
      </c>
      <c r="I10" s="80"/>
      <c r="J10" s="84"/>
      <c r="K10" s="82"/>
      <c r="L10" s="83"/>
    </row>
    <row r="11" spans="2:12" s="3" customFormat="1" x14ac:dyDescent="0.25">
      <c r="B11" s="4" t="s">
        <v>8</v>
      </c>
      <c r="C11" s="4"/>
      <c r="D11" s="142">
        <v>925000</v>
      </c>
      <c r="I11" s="80"/>
      <c r="J11" s="81" t="s">
        <v>70</v>
      </c>
      <c r="K11" s="82" t="s">
        <v>71</v>
      </c>
      <c r="L11" s="83"/>
    </row>
    <row r="12" spans="2:12" s="3" customFormat="1" x14ac:dyDescent="0.25">
      <c r="B12" s="4" t="s">
        <v>9</v>
      </c>
      <c r="C12" s="4"/>
      <c r="D12" s="142">
        <v>610000</v>
      </c>
      <c r="I12" s="80"/>
      <c r="J12" s="84"/>
      <c r="K12" s="82" t="s">
        <v>72</v>
      </c>
      <c r="L12" s="83"/>
    </row>
    <row r="13" spans="2:12" s="3" customFormat="1" ht="15.75" thickBot="1" x14ac:dyDescent="0.3">
      <c r="B13" s="4" t="s">
        <v>6</v>
      </c>
      <c r="C13" s="4"/>
      <c r="D13" s="143">
        <v>0.75</v>
      </c>
      <c r="I13" s="85"/>
      <c r="J13" s="88"/>
      <c r="K13" s="87"/>
      <c r="L13" s="86"/>
    </row>
    <row r="14" spans="2:12" s="3" customFormat="1" ht="15.75" thickBot="1" x14ac:dyDescent="0.3">
      <c r="B14" s="6" t="s">
        <v>73</v>
      </c>
      <c r="C14" s="6"/>
      <c r="D14" s="144">
        <v>60000</v>
      </c>
      <c r="I14" s="50"/>
      <c r="J14" s="51"/>
      <c r="K14" s="50"/>
      <c r="L14" s="50"/>
    </row>
    <row r="15" spans="2:12" s="3" customFormat="1" ht="17.25" x14ac:dyDescent="0.4">
      <c r="B15" s="7" t="s">
        <v>207</v>
      </c>
      <c r="C15" s="7"/>
      <c r="D15" s="5"/>
      <c r="I15" s="50"/>
      <c r="J15" s="51"/>
      <c r="K15" s="50"/>
      <c r="L15" s="50"/>
    </row>
    <row r="16" spans="2:12" thickBot="1" x14ac:dyDescent="0.4">
      <c r="B16" s="8" t="s">
        <v>208</v>
      </c>
      <c r="C16" s="8"/>
      <c r="D16" s="1"/>
      <c r="I16" s="50"/>
      <c r="J16" s="51"/>
      <c r="K16" s="50"/>
      <c r="L16" s="50"/>
    </row>
    <row r="17" spans="2:12" thickBot="1" x14ac:dyDescent="0.4">
      <c r="B17" s="1"/>
      <c r="C17" s="1"/>
      <c r="D17" s="1"/>
      <c r="E17" s="1"/>
      <c r="F17" s="1"/>
      <c r="G17" s="1"/>
      <c r="I17" s="50"/>
      <c r="J17" s="51"/>
      <c r="K17" s="50"/>
      <c r="L17" s="50"/>
    </row>
    <row r="18" spans="2:12" ht="21" customHeight="1" x14ac:dyDescent="0.45">
      <c r="B18" s="170" t="s">
        <v>10</v>
      </c>
      <c r="C18" s="170"/>
      <c r="D18" s="170"/>
      <c r="E18" s="170"/>
      <c r="F18" s="170"/>
      <c r="G18" s="170"/>
      <c r="I18" s="50"/>
      <c r="J18" s="51"/>
      <c r="K18" s="50"/>
      <c r="L18" s="50"/>
    </row>
    <row r="19" spans="2:12" ht="21" customHeight="1" x14ac:dyDescent="0.45">
      <c r="B19" s="170" t="s">
        <v>209</v>
      </c>
      <c r="C19" s="170"/>
      <c r="D19" s="170"/>
      <c r="E19" s="170"/>
      <c r="F19" s="170"/>
      <c r="G19" s="170"/>
      <c r="I19" s="50"/>
      <c r="J19" s="51"/>
      <c r="K19" s="50"/>
      <c r="L19" s="50"/>
    </row>
    <row r="20" spans="2:12" ht="21" customHeight="1" thickBot="1" x14ac:dyDescent="0.35">
      <c r="B20" s="164" t="s">
        <v>11</v>
      </c>
      <c r="C20" s="164"/>
      <c r="D20" s="165"/>
      <c r="E20" s="165"/>
      <c r="F20" s="165"/>
      <c r="G20" s="165"/>
      <c r="I20" s="50"/>
      <c r="J20" s="51"/>
      <c r="K20" s="50"/>
      <c r="L20" s="50"/>
    </row>
    <row r="21" spans="2:12" ht="9" customHeight="1" x14ac:dyDescent="0.3">
      <c r="B21" s="9"/>
      <c r="C21" s="9"/>
      <c r="D21" s="9"/>
      <c r="E21" s="9"/>
      <c r="F21" s="9"/>
      <c r="G21" s="9"/>
      <c r="I21" s="50"/>
      <c r="J21" s="51"/>
      <c r="K21" s="50"/>
      <c r="L21" s="50"/>
    </row>
    <row r="22" spans="2:12" ht="17.25" x14ac:dyDescent="0.4">
      <c r="B22" s="3"/>
      <c r="C22" s="3"/>
      <c r="D22" s="139" t="s">
        <v>210</v>
      </c>
      <c r="E22" s="139" t="s">
        <v>175</v>
      </c>
      <c r="F22" s="139" t="s">
        <v>210</v>
      </c>
      <c r="G22" s="139" t="s">
        <v>175</v>
      </c>
      <c r="I22" s="50"/>
      <c r="J22" s="51"/>
      <c r="K22" s="50"/>
      <c r="L22" s="50"/>
    </row>
    <row r="23" spans="2:12" x14ac:dyDescent="0.25">
      <c r="B23" s="3" t="s">
        <v>12</v>
      </c>
      <c r="C23" s="3"/>
      <c r="D23" s="10">
        <f>D5/1000</f>
        <v>3950</v>
      </c>
      <c r="E23" s="10">
        <v>4125</v>
      </c>
      <c r="F23" s="11">
        <f>D23/D$23</f>
        <v>1</v>
      </c>
      <c r="G23" s="11">
        <f>E23/E$23</f>
        <v>1</v>
      </c>
      <c r="I23" s="50"/>
      <c r="J23" s="51"/>
      <c r="K23" s="50"/>
      <c r="L23" s="50"/>
    </row>
    <row r="24" spans="2:12" ht="17.25" x14ac:dyDescent="0.4">
      <c r="B24" s="12" t="s">
        <v>13</v>
      </c>
      <c r="C24" s="12"/>
      <c r="D24" s="12">
        <f>E24/E23*D23</f>
        <v>2250.3030303030305</v>
      </c>
      <c r="E24" s="12">
        <v>2350</v>
      </c>
      <c r="F24" s="11">
        <f t="shared" ref="F24:G33" si="0">D24/D$23</f>
        <v>0.5696969696969697</v>
      </c>
      <c r="G24" s="11">
        <f t="shared" si="0"/>
        <v>0.5696969696969697</v>
      </c>
      <c r="H24" s="13"/>
      <c r="I24" s="50"/>
      <c r="J24" s="51"/>
      <c r="K24" s="50"/>
      <c r="L24" s="50"/>
    </row>
    <row r="25" spans="2:12" x14ac:dyDescent="0.25">
      <c r="B25" s="3" t="s">
        <v>14</v>
      </c>
      <c r="C25" s="3"/>
      <c r="D25" s="10">
        <f>D23-D24</f>
        <v>1699.6969696969695</v>
      </c>
      <c r="E25" s="10">
        <f>E23-E24</f>
        <v>1775</v>
      </c>
      <c r="F25" s="11">
        <f t="shared" si="0"/>
        <v>0.43030303030303024</v>
      </c>
      <c r="G25" s="11">
        <f t="shared" si="0"/>
        <v>0.4303030303030303</v>
      </c>
    </row>
    <row r="26" spans="2:12" x14ac:dyDescent="0.25">
      <c r="B26" s="3" t="s">
        <v>2</v>
      </c>
      <c r="C26" s="3"/>
      <c r="D26" s="3">
        <f>D6/1000</f>
        <v>600</v>
      </c>
      <c r="E26" s="3">
        <v>746</v>
      </c>
      <c r="F26" s="11">
        <f t="shared" si="0"/>
        <v>0.15189873417721519</v>
      </c>
      <c r="G26" s="11">
        <f t="shared" si="0"/>
        <v>0.18084848484848484</v>
      </c>
    </row>
    <row r="27" spans="2:12" x14ac:dyDescent="0.25">
      <c r="B27" s="3" t="s">
        <v>3</v>
      </c>
      <c r="C27" s="3"/>
      <c r="D27" s="3">
        <f>D9/1000</f>
        <v>120</v>
      </c>
      <c r="E27" s="3">
        <v>100</v>
      </c>
      <c r="F27" s="11">
        <f t="shared" si="0"/>
        <v>3.0379746835443037E-2</v>
      </c>
      <c r="G27" s="11">
        <f t="shared" si="0"/>
        <v>2.4242424242424242E-2</v>
      </c>
    </row>
    <row r="28" spans="2:12" ht="17.25" x14ac:dyDescent="0.4">
      <c r="B28" s="12" t="s">
        <v>4</v>
      </c>
      <c r="C28" s="12"/>
      <c r="D28" s="29">
        <f>D7/1000</f>
        <v>125</v>
      </c>
      <c r="E28" s="12">
        <v>70</v>
      </c>
      <c r="F28" s="11">
        <f t="shared" si="0"/>
        <v>3.1645569620253167E-2</v>
      </c>
      <c r="G28" s="11">
        <f t="shared" si="0"/>
        <v>1.6969696969696971E-2</v>
      </c>
    </row>
    <row r="29" spans="2:12" x14ac:dyDescent="0.25">
      <c r="B29" s="3" t="s">
        <v>15</v>
      </c>
      <c r="C29" s="3"/>
      <c r="D29" s="10">
        <f>D25-D26-D27-D28</f>
        <v>854.69696969696952</v>
      </c>
      <c r="E29" s="10">
        <f>E25-E26-E27-E28</f>
        <v>859</v>
      </c>
      <c r="F29" s="11">
        <f t="shared" si="0"/>
        <v>0.21637897967011888</v>
      </c>
      <c r="G29" s="11">
        <f t="shared" si="0"/>
        <v>0.20824242424242423</v>
      </c>
    </row>
    <row r="30" spans="2:12" ht="17.25" x14ac:dyDescent="0.4">
      <c r="B30" s="12" t="s">
        <v>5</v>
      </c>
      <c r="C30" s="12"/>
      <c r="D30" s="12">
        <f>D8/1000</f>
        <v>135</v>
      </c>
      <c r="E30" s="12">
        <v>110</v>
      </c>
      <c r="F30" s="11">
        <f t="shared" si="0"/>
        <v>3.4177215189873419E-2</v>
      </c>
      <c r="G30" s="11">
        <f t="shared" si="0"/>
        <v>2.6666666666666668E-2</v>
      </c>
    </row>
    <row r="31" spans="2:12" x14ac:dyDescent="0.25">
      <c r="B31" s="3" t="s">
        <v>16</v>
      </c>
      <c r="C31" s="3"/>
      <c r="D31" s="10">
        <f>D29-D30</f>
        <v>719.69696969696952</v>
      </c>
      <c r="E31" s="10">
        <f>E29-E30</f>
        <v>749</v>
      </c>
      <c r="F31" s="11">
        <f t="shared" si="0"/>
        <v>0.18220176448024544</v>
      </c>
      <c r="G31" s="11">
        <f t="shared" si="0"/>
        <v>0.18157575757575758</v>
      </c>
    </row>
    <row r="32" spans="2:12" ht="17.25" x14ac:dyDescent="0.4">
      <c r="B32" s="12" t="s">
        <v>17</v>
      </c>
      <c r="C32" s="12"/>
      <c r="D32" s="12">
        <f>D31*D3</f>
        <v>251.89393939393932</v>
      </c>
      <c r="E32" s="12">
        <v>248.4</v>
      </c>
      <c r="F32" s="11">
        <f t="shared" si="0"/>
        <v>6.3770617568085899E-2</v>
      </c>
      <c r="G32" s="11">
        <f t="shared" si="0"/>
        <v>6.0218181818181817E-2</v>
      </c>
    </row>
    <row r="33" spans="2:7" x14ac:dyDescent="0.25">
      <c r="B33" s="3" t="s">
        <v>18</v>
      </c>
      <c r="C33" s="3"/>
      <c r="D33" s="10">
        <f>D31-D32</f>
        <v>467.8030303030302</v>
      </c>
      <c r="E33" s="10">
        <f>E31-E32</f>
        <v>500.6</v>
      </c>
      <c r="F33" s="11">
        <f t="shared" si="0"/>
        <v>0.11843114691215954</v>
      </c>
      <c r="G33" s="11">
        <f t="shared" si="0"/>
        <v>0.12135757575757576</v>
      </c>
    </row>
    <row r="34" spans="2:7" ht="18" thickBot="1" x14ac:dyDescent="0.45">
      <c r="B34" s="29"/>
      <c r="C34" s="12"/>
      <c r="D34" s="12"/>
      <c r="E34" s="12"/>
      <c r="F34" s="11"/>
      <c r="G34" s="11"/>
    </row>
    <row r="35" spans="2:7" ht="15.75" thickBot="1" x14ac:dyDescent="0.3">
      <c r="B35" s="3" t="s">
        <v>19</v>
      </c>
      <c r="D35" s="28">
        <f>D33/D4*1000</f>
        <v>0.62373737373737359</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70" t="s">
        <v>20</v>
      </c>
      <c r="C39" s="170"/>
      <c r="D39" s="170"/>
      <c r="E39" s="170"/>
      <c r="F39" s="170"/>
      <c r="G39" s="170"/>
    </row>
    <row r="40" spans="2:7" ht="18.75" x14ac:dyDescent="0.3">
      <c r="B40" s="170" t="s">
        <v>211</v>
      </c>
      <c r="C40" s="170"/>
      <c r="D40" s="170"/>
      <c r="E40" s="170"/>
      <c r="F40" s="170"/>
      <c r="G40" s="170"/>
    </row>
    <row r="41" spans="2:7" ht="19.5" thickBot="1" x14ac:dyDescent="0.35">
      <c r="B41" s="164" t="s">
        <v>11</v>
      </c>
      <c r="C41" s="164"/>
      <c r="D41" s="165"/>
      <c r="E41" s="165"/>
      <c r="F41" s="165"/>
      <c r="G41" s="165"/>
    </row>
    <row r="42" spans="2:7" ht="18.75" x14ac:dyDescent="0.3">
      <c r="B42" s="14"/>
      <c r="C42" s="14"/>
      <c r="D42" s="9"/>
      <c r="E42" s="9"/>
      <c r="F42" s="9"/>
      <c r="G42" s="9"/>
    </row>
    <row r="43" spans="2:7" ht="17.25" x14ac:dyDescent="0.4">
      <c r="D43" s="139" t="s">
        <v>210</v>
      </c>
      <c r="E43" s="139" t="s">
        <v>175</v>
      </c>
      <c r="F43" s="139" t="s">
        <v>210</v>
      </c>
      <c r="G43" s="139" t="s">
        <v>175</v>
      </c>
    </row>
    <row r="44" spans="2:7" x14ac:dyDescent="0.25">
      <c r="B44" s="15" t="s">
        <v>21</v>
      </c>
      <c r="C44" s="3"/>
      <c r="D44" s="16">
        <f>D49-D48-D47-D46-D45</f>
        <v>4127.30303030303</v>
      </c>
      <c r="E44" s="16">
        <v>2850</v>
      </c>
      <c r="F44" s="11">
        <f>D44/D$67</f>
        <v>0.37269189934656261</v>
      </c>
      <c r="G44" s="11">
        <f>E44/E$67</f>
        <v>0.26932526932526935</v>
      </c>
    </row>
    <row r="45" spans="2:7" x14ac:dyDescent="0.25">
      <c r="B45" s="15" t="s">
        <v>22</v>
      </c>
      <c r="C45" s="3"/>
      <c r="D45" s="65">
        <v>75</v>
      </c>
      <c r="E45" s="3">
        <v>460</v>
      </c>
      <c r="F45" s="11">
        <f t="shared" ref="F45:G67" si="1">D45/D$67</f>
        <v>6.7724352308921555E-3</v>
      </c>
      <c r="G45" s="11">
        <f t="shared" si="1"/>
        <v>4.3470043470043469E-2</v>
      </c>
    </row>
    <row r="46" spans="2:7" x14ac:dyDescent="0.25">
      <c r="B46" s="15" t="s">
        <v>23</v>
      </c>
      <c r="C46" s="3"/>
      <c r="D46" s="3">
        <f>D10/1000</f>
        <v>1530</v>
      </c>
      <c r="E46" s="3">
        <v>1860</v>
      </c>
      <c r="F46" s="11">
        <f t="shared" si="1"/>
        <v>0.13815767871019999</v>
      </c>
      <c r="G46" s="11">
        <f t="shared" si="1"/>
        <v>0.17577017577017576</v>
      </c>
    </row>
    <row r="47" spans="2:7" x14ac:dyDescent="0.25">
      <c r="B47" s="15" t="s">
        <v>8</v>
      </c>
      <c r="C47" s="3"/>
      <c r="D47" s="57">
        <f>D11/1000</f>
        <v>925</v>
      </c>
      <c r="E47" s="3">
        <v>1020</v>
      </c>
      <c r="F47" s="11">
        <f t="shared" si="1"/>
        <v>8.3526701181003249E-2</v>
      </c>
      <c r="G47" s="11">
        <f t="shared" si="1"/>
        <v>9.6390096390096394E-2</v>
      </c>
    </row>
    <row r="48" spans="2:7" ht="17.25" x14ac:dyDescent="0.4">
      <c r="B48" s="17" t="s">
        <v>24</v>
      </c>
      <c r="C48" s="3"/>
      <c r="D48" s="66">
        <v>52</v>
      </c>
      <c r="E48" s="12">
        <v>37</v>
      </c>
      <c r="F48" s="11">
        <f t="shared" si="1"/>
        <v>4.6955550934185616E-3</v>
      </c>
      <c r="G48" s="11">
        <f t="shared" si="1"/>
        <v>3.4965034965034965E-3</v>
      </c>
    </row>
    <row r="49" spans="2:11" x14ac:dyDescent="0.25">
      <c r="B49" s="18" t="s">
        <v>25</v>
      </c>
      <c r="C49" s="18"/>
      <c r="D49" s="19">
        <f>D54-D53-D52</f>
        <v>6709.30303030303</v>
      </c>
      <c r="E49" s="19">
        <f>SUM(E44:E48)</f>
        <v>6227</v>
      </c>
      <c r="F49" s="11">
        <f t="shared" si="1"/>
        <v>0.60584426956207649</v>
      </c>
      <c r="G49" s="11">
        <f t="shared" si="1"/>
        <v>0.58845208845208841</v>
      </c>
    </row>
    <row r="50" spans="2:11" x14ac:dyDescent="0.25">
      <c r="B50" s="15" t="s">
        <v>26</v>
      </c>
      <c r="C50" s="3"/>
      <c r="D50" s="3">
        <f>E50+D14/1000</f>
        <v>4985</v>
      </c>
      <c r="E50" s="3">
        <v>4925</v>
      </c>
      <c r="F50" s="11">
        <f t="shared" si="1"/>
        <v>0.45014119501329863</v>
      </c>
      <c r="G50" s="11">
        <f t="shared" si="1"/>
        <v>0.4654129654129654</v>
      </c>
    </row>
    <row r="51" spans="2:11" ht="17.25" x14ac:dyDescent="0.4">
      <c r="B51" s="17" t="s">
        <v>27</v>
      </c>
      <c r="C51" s="3"/>
      <c r="D51" s="12">
        <f>E51+D28</f>
        <v>1045</v>
      </c>
      <c r="E51" s="12">
        <v>920</v>
      </c>
      <c r="F51" s="11">
        <f t="shared" si="1"/>
        <v>9.4362597550430707E-2</v>
      </c>
      <c r="G51" s="11">
        <f t="shared" si="1"/>
        <v>8.6940086940086939E-2</v>
      </c>
    </row>
    <row r="52" spans="2:11" x14ac:dyDescent="0.25">
      <c r="B52" s="18" t="s">
        <v>28</v>
      </c>
      <c r="C52" s="3"/>
      <c r="D52" s="19">
        <f>D50-D51</f>
        <v>3940</v>
      </c>
      <c r="E52" s="19">
        <f>E50-E51</f>
        <v>4005</v>
      </c>
      <c r="F52" s="11">
        <f t="shared" si="1"/>
        <v>0.35577859746286788</v>
      </c>
      <c r="G52" s="11">
        <f t="shared" si="1"/>
        <v>0.37847287847287847</v>
      </c>
    </row>
    <row r="53" spans="2:11" ht="17.25" x14ac:dyDescent="0.4">
      <c r="B53" s="20" t="s">
        <v>29</v>
      </c>
      <c r="C53" s="3"/>
      <c r="D53" s="66">
        <v>425</v>
      </c>
      <c r="E53" s="12">
        <v>350</v>
      </c>
      <c r="F53" s="11">
        <f t="shared" si="1"/>
        <v>3.8377132975055551E-2</v>
      </c>
      <c r="G53" s="11">
        <f t="shared" si="1"/>
        <v>3.3075033075033074E-2</v>
      </c>
    </row>
    <row r="54" spans="2:11" x14ac:dyDescent="0.25">
      <c r="B54" s="21" t="s">
        <v>30</v>
      </c>
      <c r="C54" s="21"/>
      <c r="D54" s="22">
        <f>D67</f>
        <v>11074.30303030303</v>
      </c>
      <c r="E54" s="22">
        <f>E53+E52+E49</f>
        <v>10582</v>
      </c>
      <c r="F54" s="11">
        <f t="shared" si="1"/>
        <v>1</v>
      </c>
      <c r="G54" s="11">
        <f t="shared" si="1"/>
        <v>1</v>
      </c>
    </row>
    <row r="55" spans="2:11" x14ac:dyDescent="0.25">
      <c r="B55" s="3"/>
      <c r="C55" s="3"/>
      <c r="D55" s="3"/>
      <c r="E55" s="3"/>
      <c r="F55" s="11"/>
      <c r="G55" s="11"/>
    </row>
    <row r="56" spans="2:11" x14ac:dyDescent="0.25">
      <c r="B56" s="15" t="s">
        <v>31</v>
      </c>
      <c r="C56" s="3"/>
      <c r="D56" s="16">
        <f>D12/1000</f>
        <v>610</v>
      </c>
      <c r="E56" s="16">
        <v>650</v>
      </c>
      <c r="F56" s="11">
        <f t="shared" si="1"/>
        <v>5.50824732112562E-2</v>
      </c>
      <c r="G56" s="11">
        <f t="shared" si="1"/>
        <v>6.1425061425061427E-2</v>
      </c>
    </row>
    <row r="57" spans="2:11" x14ac:dyDescent="0.25">
      <c r="B57" s="15" t="s">
        <v>32</v>
      </c>
      <c r="C57" s="3"/>
      <c r="D57" s="65">
        <v>36</v>
      </c>
      <c r="E57" s="3">
        <v>25</v>
      </c>
      <c r="F57" s="11">
        <f t="shared" si="1"/>
        <v>3.2507689108282347E-3</v>
      </c>
      <c r="G57" s="11">
        <f t="shared" si="1"/>
        <v>2.3625023625023626E-3</v>
      </c>
    </row>
    <row r="58" spans="2:11" x14ac:dyDescent="0.25">
      <c r="B58" s="15" t="s">
        <v>33</v>
      </c>
      <c r="C58" s="3"/>
      <c r="D58" s="65">
        <v>86</v>
      </c>
      <c r="E58" s="3">
        <v>75</v>
      </c>
      <c r="F58" s="11">
        <f t="shared" si="1"/>
        <v>7.7657257314230049E-3</v>
      </c>
      <c r="G58" s="11">
        <f t="shared" si="1"/>
        <v>7.0875070875070873E-3</v>
      </c>
    </row>
    <row r="59" spans="2:11" ht="17.25" x14ac:dyDescent="0.4">
      <c r="B59" s="17" t="s">
        <v>34</v>
      </c>
      <c r="C59" s="3"/>
      <c r="D59" s="66">
        <v>450</v>
      </c>
      <c r="E59" s="12">
        <v>320</v>
      </c>
      <c r="F59" s="11">
        <f t="shared" si="1"/>
        <v>4.0634611385352931E-2</v>
      </c>
      <c r="G59" s="11">
        <f t="shared" si="1"/>
        <v>3.024003024003024E-2</v>
      </c>
    </row>
    <row r="60" spans="2:11" x14ac:dyDescent="0.25">
      <c r="B60" s="18" t="s">
        <v>35</v>
      </c>
      <c r="C60" s="3"/>
      <c r="D60" s="19">
        <f>SUM(D56:D59)</f>
        <v>1182</v>
      </c>
      <c r="E60" s="19">
        <f>SUM(E56:E59)</f>
        <v>1070</v>
      </c>
      <c r="F60" s="11">
        <f t="shared" si="1"/>
        <v>0.10673357923886037</v>
      </c>
      <c r="G60" s="11">
        <f t="shared" si="1"/>
        <v>0.10111510111510112</v>
      </c>
    </row>
    <row r="61" spans="2:11" ht="17.25" x14ac:dyDescent="0.4">
      <c r="B61" s="17" t="s">
        <v>36</v>
      </c>
      <c r="C61" s="3"/>
      <c r="D61" s="66">
        <v>4100</v>
      </c>
      <c r="E61" s="12">
        <v>3625</v>
      </c>
      <c r="F61" s="11">
        <f t="shared" si="1"/>
        <v>0.37022645928877118</v>
      </c>
      <c r="G61" s="11">
        <f t="shared" si="1"/>
        <v>0.34256284256284258</v>
      </c>
    </row>
    <row r="62" spans="2:11" x14ac:dyDescent="0.25">
      <c r="B62" s="18" t="s">
        <v>37</v>
      </c>
      <c r="C62" s="3"/>
      <c r="D62" s="19">
        <f>D60+D61</f>
        <v>5282</v>
      </c>
      <c r="E62" s="19">
        <f>E60+E61</f>
        <v>4695</v>
      </c>
      <c r="F62" s="11">
        <f t="shared" si="1"/>
        <v>0.47696003852763152</v>
      </c>
      <c r="G62" s="11">
        <f t="shared" si="1"/>
        <v>0.44367794367794366</v>
      </c>
    </row>
    <row r="63" spans="2:11" x14ac:dyDescent="0.25">
      <c r="B63" s="15" t="s">
        <v>38</v>
      </c>
      <c r="C63" s="3"/>
      <c r="D63" s="65">
        <v>4119</v>
      </c>
      <c r="E63" s="3">
        <v>4119</v>
      </c>
      <c r="F63" s="11">
        <f t="shared" si="1"/>
        <v>0.37194214288059718</v>
      </c>
      <c r="G63" s="11">
        <f t="shared" si="1"/>
        <v>0.38924588924588926</v>
      </c>
      <c r="K63">
        <f>6277-6158</f>
        <v>119</v>
      </c>
    </row>
    <row r="64" spans="2:11" x14ac:dyDescent="0.25">
      <c r="B64" s="15" t="s">
        <v>39</v>
      </c>
      <c r="C64" s="3"/>
      <c r="D64" s="65">
        <v>342</v>
      </c>
      <c r="E64" s="3">
        <v>342</v>
      </c>
      <c r="F64" s="11">
        <f t="shared" si="1"/>
        <v>3.0882304652868231E-2</v>
      </c>
      <c r="G64" s="11">
        <f t="shared" si="1"/>
        <v>3.2319032319032319E-2</v>
      </c>
    </row>
    <row r="65" spans="2:7" ht="17.25" x14ac:dyDescent="0.4">
      <c r="B65" s="17" t="s">
        <v>40</v>
      </c>
      <c r="C65" s="3"/>
      <c r="D65" s="12">
        <f>D33-(D13*D4/1000)+E65</f>
        <v>1331.3030303030303</v>
      </c>
      <c r="E65" s="12">
        <v>1426</v>
      </c>
      <c r="F65" s="11">
        <f t="shared" si="1"/>
        <v>0.12021551393890306</v>
      </c>
      <c r="G65" s="11">
        <f t="shared" si="1"/>
        <v>0.13475713475713474</v>
      </c>
    </row>
    <row r="66" spans="2:7" ht="17.25" x14ac:dyDescent="0.4">
      <c r="B66" s="23" t="s">
        <v>41</v>
      </c>
      <c r="C66" s="3"/>
      <c r="D66" s="24">
        <f>D63+D64+D65</f>
        <v>5792.30303030303</v>
      </c>
      <c r="E66" s="24">
        <f>E63+E64+E65</f>
        <v>5887</v>
      </c>
      <c r="F66" s="11">
        <f t="shared" si="1"/>
        <v>0.52303996147236842</v>
      </c>
      <c r="G66" s="11">
        <f t="shared" si="1"/>
        <v>0.55632205632205634</v>
      </c>
    </row>
    <row r="67" spans="2:7" x14ac:dyDescent="0.25">
      <c r="B67" s="21" t="s">
        <v>42</v>
      </c>
      <c r="C67" s="21"/>
      <c r="D67" s="22">
        <f>D66+D62</f>
        <v>11074.30303030303</v>
      </c>
      <c r="E67" s="22">
        <f>E66+E62</f>
        <v>10582</v>
      </c>
      <c r="F67" s="11">
        <f t="shared" si="1"/>
        <v>1</v>
      </c>
      <c r="G67" s="11">
        <f t="shared" si="1"/>
        <v>1</v>
      </c>
    </row>
    <row r="68" spans="2:7" ht="15.75" thickBot="1" x14ac:dyDescent="0.3">
      <c r="B68" s="25"/>
      <c r="C68" s="25"/>
      <c r="D68" s="26"/>
      <c r="E68" s="26"/>
    </row>
    <row r="69" spans="2:7" ht="18.75" x14ac:dyDescent="0.3">
      <c r="B69" s="166" t="s">
        <v>43</v>
      </c>
      <c r="C69" s="166"/>
      <c r="D69" s="166"/>
      <c r="E69" s="166"/>
    </row>
    <row r="70" spans="2:7" ht="19.5" thickBot="1" x14ac:dyDescent="0.35">
      <c r="B70" s="167" t="s">
        <v>11</v>
      </c>
      <c r="C70" s="167"/>
      <c r="D70" s="167"/>
      <c r="E70" s="167"/>
    </row>
    <row r="72" spans="2:7" ht="17.25" x14ac:dyDescent="0.4">
      <c r="D72" s="168" t="s">
        <v>210</v>
      </c>
      <c r="E72" s="168"/>
    </row>
    <row r="73" spans="2:7" ht="15.75" x14ac:dyDescent="0.25">
      <c r="B73" s="27" t="s">
        <v>44</v>
      </c>
      <c r="C73" s="3"/>
      <c r="D73" s="3"/>
    </row>
    <row r="74" spans="2:7" x14ac:dyDescent="0.25">
      <c r="B74" s="15" t="s">
        <v>45</v>
      </c>
      <c r="C74" s="3"/>
      <c r="D74" s="3"/>
    </row>
    <row r="75" spans="2:7" x14ac:dyDescent="0.25">
      <c r="B75" s="15" t="s">
        <v>46</v>
      </c>
      <c r="C75" s="3"/>
      <c r="D75" s="59">
        <f>D28</f>
        <v>125</v>
      </c>
    </row>
    <row r="76" spans="2:7" x14ac:dyDescent="0.25">
      <c r="B76" s="15" t="s">
        <v>47</v>
      </c>
      <c r="C76" s="3"/>
    </row>
    <row r="77" spans="2:7" x14ac:dyDescent="0.25">
      <c r="B77" s="15" t="s">
        <v>48</v>
      </c>
      <c r="C77" s="3"/>
    </row>
    <row r="78" spans="2:7" x14ac:dyDescent="0.25">
      <c r="B78" s="15" t="s">
        <v>49</v>
      </c>
      <c r="C78" s="3"/>
      <c r="D78" s="59">
        <f>E47-D47</f>
        <v>95</v>
      </c>
    </row>
    <row r="79" spans="2:7" x14ac:dyDescent="0.25">
      <c r="B79" s="15" t="s">
        <v>50</v>
      </c>
      <c r="C79" s="3"/>
      <c r="D79" s="58"/>
    </row>
    <row r="80" spans="2:7" x14ac:dyDescent="0.25">
      <c r="B80" s="15" t="s">
        <v>51</v>
      </c>
      <c r="C80" s="3"/>
      <c r="D80" s="59">
        <f>D56-E56</f>
        <v>-40</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59">
        <f>E50-D50</f>
        <v>-60</v>
      </c>
    </row>
    <row r="86" spans="2:4" ht="17.25" x14ac:dyDescent="0.4">
      <c r="B86" s="17" t="s">
        <v>56</v>
      </c>
      <c r="C86" s="3"/>
      <c r="D86" s="56"/>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c r="D90" s="64"/>
    </row>
    <row r="91" spans="2:4" x14ac:dyDescent="0.25">
      <c r="B91" s="15" t="s">
        <v>59</v>
      </c>
      <c r="C91" s="3"/>
      <c r="D91" s="59">
        <f>D61-E61</f>
        <v>475</v>
      </c>
    </row>
    <row r="92" spans="2:4" x14ac:dyDescent="0.25">
      <c r="B92" s="15" t="s">
        <v>60</v>
      </c>
      <c r="C92" s="3"/>
    </row>
    <row r="93" spans="2:4" x14ac:dyDescent="0.25">
      <c r="B93" s="15" t="s">
        <v>61</v>
      </c>
      <c r="C93" s="3"/>
      <c r="D93" s="18"/>
    </row>
    <row r="94" spans="2:4" ht="17.25" x14ac:dyDescent="0.4">
      <c r="B94" s="17" t="s">
        <v>62</v>
      </c>
      <c r="C94" s="3"/>
      <c r="D94" s="59">
        <f>-D13*D4/1000</f>
        <v>-562.5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zoomScaleNormal="100" workbookViewId="0">
      <selection activeCell="B22" sqref="B22"/>
    </sheetView>
  </sheetViews>
  <sheetFormatPr defaultRowHeight="15" x14ac:dyDescent="0.25"/>
  <cols>
    <col min="2" max="2" width="33.42578125" customWidth="1"/>
    <col min="5" max="14" width="9.85546875" customWidth="1"/>
  </cols>
  <sheetData>
    <row r="19" spans="2:20" thickBot="1" x14ac:dyDescent="0.4">
      <c r="B19" s="30"/>
      <c r="C19" s="30"/>
      <c r="D19" s="30"/>
      <c r="E19" s="30"/>
      <c r="F19" s="30"/>
      <c r="G19" s="30"/>
      <c r="H19" s="30"/>
      <c r="I19" s="30"/>
      <c r="J19" s="30"/>
      <c r="K19" s="30"/>
      <c r="L19" s="30"/>
      <c r="M19" s="30"/>
      <c r="N19" s="30"/>
    </row>
    <row r="20" spans="2:20" ht="22.5" customHeight="1" thickBot="1" x14ac:dyDescent="0.4">
      <c r="B20" s="171" t="s">
        <v>93</v>
      </c>
      <c r="C20" s="172"/>
      <c r="D20" s="172"/>
      <c r="E20" s="172"/>
      <c r="F20" s="172"/>
      <c r="G20" s="172"/>
      <c r="H20" s="172"/>
      <c r="I20" s="172"/>
      <c r="J20" s="172"/>
      <c r="K20" s="172"/>
      <c r="L20" s="172"/>
      <c r="M20" s="172"/>
      <c r="N20" s="173"/>
    </row>
    <row r="21" spans="2:20" thickBot="1" x14ac:dyDescent="0.4">
      <c r="B21" s="30"/>
      <c r="C21" s="30"/>
      <c r="D21" s="30"/>
      <c r="E21" s="30"/>
      <c r="F21" s="30"/>
      <c r="G21" s="30"/>
      <c r="H21" s="30"/>
      <c r="I21" s="30"/>
      <c r="J21" s="30"/>
      <c r="K21" s="30"/>
      <c r="L21" s="30"/>
      <c r="M21" s="30"/>
      <c r="N21" s="30"/>
    </row>
    <row r="22" spans="2:20" ht="15.75" thickBot="1" x14ac:dyDescent="0.3">
      <c r="B22" s="46" t="s">
        <v>99</v>
      </c>
      <c r="C22" s="31"/>
      <c r="D22" s="30"/>
      <c r="E22" s="30"/>
      <c r="F22" s="44">
        <v>0.3</v>
      </c>
      <c r="G22" s="30"/>
      <c r="H22" s="33" t="s">
        <v>100</v>
      </c>
      <c r="I22" s="30"/>
      <c r="J22" s="30"/>
      <c r="K22" s="30"/>
      <c r="L22" s="43">
        <v>50000</v>
      </c>
      <c r="M22" s="30"/>
      <c r="N22" s="30"/>
    </row>
    <row r="23" spans="2:20" ht="15.75" thickBot="1" x14ac:dyDescent="0.3">
      <c r="B23" s="46" t="s">
        <v>101</v>
      </c>
      <c r="C23" s="31"/>
      <c r="D23" s="30"/>
      <c r="E23" s="30"/>
      <c r="F23" s="44">
        <v>0.15</v>
      </c>
      <c r="G23" s="30"/>
      <c r="H23" s="30"/>
      <c r="I23" s="30"/>
      <c r="J23" s="30"/>
      <c r="K23" s="30"/>
      <c r="L23" s="30"/>
      <c r="M23" s="30"/>
      <c r="N23" s="30"/>
      <c r="T23" t="s">
        <v>78</v>
      </c>
    </row>
    <row r="24" spans="2:20" ht="15.75" thickBot="1" x14ac:dyDescent="0.3">
      <c r="B24" s="46" t="s">
        <v>102</v>
      </c>
      <c r="C24" s="31"/>
      <c r="D24" s="30"/>
      <c r="E24" s="30"/>
      <c r="F24" s="44">
        <v>0.55000000000000004</v>
      </c>
      <c r="G24" s="30"/>
      <c r="H24" s="33" t="s">
        <v>103</v>
      </c>
      <c r="I24" s="30"/>
      <c r="J24" s="30"/>
      <c r="K24" s="30"/>
      <c r="L24" s="38" t="s">
        <v>139</v>
      </c>
      <c r="M24" s="30"/>
      <c r="N24" s="30"/>
      <c r="T24" t="s">
        <v>138</v>
      </c>
    </row>
    <row r="25" spans="2:20" ht="15.75" thickBot="1" x14ac:dyDescent="0.3">
      <c r="B25" s="36"/>
      <c r="C25" s="31"/>
      <c r="D25" s="30"/>
      <c r="E25" s="30"/>
      <c r="F25" s="30"/>
      <c r="G25" s="30"/>
      <c r="H25" s="30"/>
      <c r="I25" s="30"/>
      <c r="J25" s="30"/>
      <c r="K25" s="30"/>
      <c r="L25" s="30"/>
      <c r="M25" s="30"/>
      <c r="N25" s="30"/>
      <c r="T25" t="s">
        <v>139</v>
      </c>
    </row>
    <row r="26" spans="2:20" ht="15.75" thickBot="1" x14ac:dyDescent="0.3">
      <c r="B26" s="33" t="s">
        <v>104</v>
      </c>
      <c r="C26" s="31"/>
      <c r="D26" s="30"/>
      <c r="E26" s="30"/>
      <c r="F26" s="44">
        <v>0.3</v>
      </c>
      <c r="G26" s="30"/>
      <c r="H26" s="46" t="s">
        <v>94</v>
      </c>
      <c r="I26" s="30"/>
      <c r="J26" s="30"/>
      <c r="K26" s="30"/>
      <c r="L26" s="43">
        <v>20000</v>
      </c>
      <c r="M26" s="30"/>
      <c r="N26" s="30"/>
      <c r="T26" t="s">
        <v>140</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61">
        <v>13500</v>
      </c>
      <c r="D29" s="61">
        <v>15000</v>
      </c>
      <c r="E29" s="61">
        <v>16120</v>
      </c>
      <c r="F29" s="60">
        <v>14125</v>
      </c>
      <c r="G29" s="60">
        <v>13500</v>
      </c>
      <c r="H29" s="60">
        <v>14900</v>
      </c>
      <c r="I29" s="60">
        <v>15500</v>
      </c>
      <c r="J29" s="60">
        <v>13500</v>
      </c>
      <c r="K29" s="60">
        <v>11000</v>
      </c>
      <c r="L29" s="60">
        <v>9500</v>
      </c>
      <c r="M29" s="60">
        <v>11200</v>
      </c>
      <c r="N29" s="60">
        <v>12500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14905.5</v>
      </c>
      <c r="G31" s="48">
        <f t="shared" si="0"/>
        <v>15034.75</v>
      </c>
      <c r="H31" s="48">
        <f t="shared" si="0"/>
        <v>14263.75</v>
      </c>
      <c r="I31" s="48">
        <f t="shared" si="0"/>
        <v>14310</v>
      </c>
      <c r="J31" s="48">
        <f t="shared" si="0"/>
        <v>14570</v>
      </c>
      <c r="K31" s="48">
        <f t="shared" si="0"/>
        <v>13850</v>
      </c>
      <c r="L31" s="48">
        <f t="shared" si="0"/>
        <v>11925</v>
      </c>
      <c r="M31" s="48">
        <f t="shared" si="0"/>
        <v>10835</v>
      </c>
      <c r="N31" s="48">
        <f t="shared" si="0"/>
        <v>10655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4237.5</v>
      </c>
      <c r="G33" s="48">
        <f t="shared" ref="G33:N33" si="1">G29*$F$26</f>
        <v>4050</v>
      </c>
      <c r="H33" s="48">
        <f t="shared" si="1"/>
        <v>4470</v>
      </c>
      <c r="I33" s="48">
        <f t="shared" si="1"/>
        <v>4650</v>
      </c>
      <c r="J33" s="48">
        <f t="shared" si="1"/>
        <v>4050</v>
      </c>
      <c r="K33" s="48">
        <f t="shared" si="1"/>
        <v>3300</v>
      </c>
      <c r="L33" s="48">
        <f t="shared" si="1"/>
        <v>2850</v>
      </c>
      <c r="M33" s="48">
        <f t="shared" si="1"/>
        <v>3360</v>
      </c>
      <c r="N33" s="48">
        <f t="shared" si="1"/>
        <v>3750</v>
      </c>
      <c r="O33" s="30"/>
    </row>
    <row r="34" spans="2:15" x14ac:dyDescent="0.25">
      <c r="B34" s="36" t="s">
        <v>3</v>
      </c>
      <c r="C34" s="31"/>
      <c r="D34" s="31"/>
      <c r="E34" s="31"/>
      <c r="F34" s="45">
        <v>2500</v>
      </c>
      <c r="G34" s="61">
        <v>2500</v>
      </c>
      <c r="H34" s="61">
        <v>2500</v>
      </c>
      <c r="I34" s="61">
        <v>2500</v>
      </c>
      <c r="J34" s="61">
        <v>2500</v>
      </c>
      <c r="K34" s="61">
        <v>2500</v>
      </c>
      <c r="L34" s="61">
        <v>2500</v>
      </c>
      <c r="M34" s="61">
        <v>2500</v>
      </c>
      <c r="N34" s="45">
        <v>2500</v>
      </c>
      <c r="O34" s="30"/>
    </row>
    <row r="35" spans="2:15" x14ac:dyDescent="0.25">
      <c r="B35" s="36" t="s">
        <v>96</v>
      </c>
      <c r="C35" s="31"/>
      <c r="D35" s="31"/>
      <c r="E35" s="31"/>
      <c r="F35" s="45">
        <v>650</v>
      </c>
      <c r="G35" s="45">
        <v>0</v>
      </c>
      <c r="H35" s="45">
        <v>0</v>
      </c>
      <c r="I35" s="45">
        <v>650</v>
      </c>
      <c r="J35" s="45">
        <v>0</v>
      </c>
      <c r="K35" s="45">
        <v>0</v>
      </c>
      <c r="L35" s="45">
        <v>650</v>
      </c>
      <c r="M35" s="45">
        <v>0</v>
      </c>
      <c r="N35" s="45">
        <v>0</v>
      </c>
      <c r="O35" s="30"/>
    </row>
    <row r="36" spans="2:15" x14ac:dyDescent="0.25">
      <c r="B36" s="36" t="s">
        <v>108</v>
      </c>
      <c r="C36" s="31"/>
      <c r="D36" s="31"/>
      <c r="E36" s="31"/>
      <c r="F36" s="45">
        <v>0</v>
      </c>
      <c r="G36" s="48">
        <f>IF($L$24="May",$L$22,0)</f>
        <v>0</v>
      </c>
      <c r="H36" s="48">
        <f>IF($L$24="June",$L$22,0)</f>
        <v>0</v>
      </c>
      <c r="I36" s="48">
        <f>IF($L$24="July",$L$22,0)</f>
        <v>50000</v>
      </c>
      <c r="J36" s="48">
        <f>IF($L$24="August",$L$22,0)</f>
        <v>0</v>
      </c>
      <c r="K36" s="45">
        <v>0</v>
      </c>
      <c r="L36" s="45">
        <v>0</v>
      </c>
      <c r="M36" s="45">
        <v>0</v>
      </c>
      <c r="N36" s="45">
        <v>0</v>
      </c>
      <c r="O36" s="30"/>
    </row>
    <row r="37" spans="2:15" ht="17.25" x14ac:dyDescent="0.4">
      <c r="B37" s="49" t="s">
        <v>97</v>
      </c>
      <c r="C37" s="31"/>
      <c r="D37" s="31"/>
      <c r="E37" s="31"/>
      <c r="F37" s="47">
        <v>125</v>
      </c>
      <c r="G37" s="47">
        <v>0</v>
      </c>
      <c r="H37" s="47">
        <v>0</v>
      </c>
      <c r="I37" s="47">
        <v>125</v>
      </c>
      <c r="J37" s="47">
        <v>0</v>
      </c>
      <c r="K37" s="47">
        <v>0</v>
      </c>
      <c r="L37" s="47">
        <v>125</v>
      </c>
      <c r="M37" s="47">
        <v>0</v>
      </c>
      <c r="N37" s="47">
        <v>0</v>
      </c>
      <c r="O37" s="30"/>
    </row>
    <row r="38" spans="2:15" x14ac:dyDescent="0.25">
      <c r="B38" s="36" t="s">
        <v>109</v>
      </c>
      <c r="C38" s="31"/>
      <c r="D38" s="31"/>
      <c r="E38" s="31"/>
      <c r="F38" s="45">
        <f>SUM(F33:F37)</f>
        <v>7512.5</v>
      </c>
      <c r="G38" s="61">
        <f t="shared" ref="G38:N38" si="2">SUM(G33:G37)</f>
        <v>6550</v>
      </c>
      <c r="H38" s="61">
        <f t="shared" si="2"/>
        <v>6970</v>
      </c>
      <c r="I38" s="61">
        <f t="shared" si="2"/>
        <v>57925</v>
      </c>
      <c r="J38" s="61">
        <f t="shared" si="2"/>
        <v>6550</v>
      </c>
      <c r="K38" s="61">
        <f t="shared" si="2"/>
        <v>5800</v>
      </c>
      <c r="L38" s="61">
        <f t="shared" si="2"/>
        <v>6125</v>
      </c>
      <c r="M38" s="61">
        <f t="shared" si="2"/>
        <v>5860</v>
      </c>
      <c r="N38" s="61">
        <f t="shared" si="2"/>
        <v>6250</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74" t="s">
        <v>95</v>
      </c>
      <c r="C40" s="174"/>
      <c r="D40" s="174"/>
      <c r="E40" s="174"/>
      <c r="F40" s="174"/>
      <c r="G40" s="174"/>
      <c r="H40" s="174"/>
      <c r="I40" s="174"/>
      <c r="J40" s="174"/>
      <c r="K40" s="174"/>
      <c r="L40" s="174"/>
      <c r="M40" s="174"/>
      <c r="N40" s="174"/>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15000</v>
      </c>
      <c r="G42" s="62">
        <f t="shared" ref="G42:N42" si="3">F46</f>
        <v>20000</v>
      </c>
      <c r="H42" s="62">
        <f t="shared" si="3"/>
        <v>20000</v>
      </c>
      <c r="I42" s="62">
        <f t="shared" si="3"/>
        <v>20000</v>
      </c>
      <c r="J42" s="62">
        <f t="shared" si="3"/>
        <v>20000</v>
      </c>
      <c r="K42" s="62">
        <f t="shared" si="3"/>
        <v>20000</v>
      </c>
      <c r="L42" s="62">
        <f t="shared" si="3"/>
        <v>20000</v>
      </c>
      <c r="M42" s="62">
        <f t="shared" si="3"/>
        <v>20000</v>
      </c>
      <c r="N42" s="62">
        <f t="shared" si="3"/>
        <v>20000</v>
      </c>
      <c r="O42" s="30"/>
    </row>
    <row r="43" spans="2:15" ht="17.25" x14ac:dyDescent="0.4">
      <c r="B43" s="34" t="s">
        <v>87</v>
      </c>
      <c r="C43" s="35"/>
      <c r="D43" s="35"/>
      <c r="E43" s="35"/>
      <c r="F43" s="35">
        <f>F31-F38</f>
        <v>7393</v>
      </c>
      <c r="G43" s="35">
        <f t="shared" ref="G43:N43" si="4">G31-G38</f>
        <v>8484.75</v>
      </c>
      <c r="H43" s="35">
        <f t="shared" si="4"/>
        <v>7293.75</v>
      </c>
      <c r="I43" s="35">
        <f t="shared" si="4"/>
        <v>-43615</v>
      </c>
      <c r="J43" s="35">
        <f t="shared" si="4"/>
        <v>8020</v>
      </c>
      <c r="K43" s="35">
        <f t="shared" si="4"/>
        <v>8050</v>
      </c>
      <c r="L43" s="35">
        <f t="shared" si="4"/>
        <v>5800</v>
      </c>
      <c r="M43" s="35">
        <f t="shared" si="4"/>
        <v>4975</v>
      </c>
      <c r="N43" s="35">
        <f t="shared" si="4"/>
        <v>4405</v>
      </c>
      <c r="O43" s="30"/>
    </row>
    <row r="44" spans="2:15" x14ac:dyDescent="0.25">
      <c r="B44" s="36" t="s">
        <v>88</v>
      </c>
      <c r="C44" s="36"/>
      <c r="D44" s="36"/>
      <c r="E44" s="36"/>
      <c r="F44" s="36">
        <f>F42+F43</f>
        <v>22393</v>
      </c>
      <c r="G44" s="63">
        <f t="shared" ref="G44:N44" si="5">G42+G43</f>
        <v>28484.75</v>
      </c>
      <c r="H44" s="63">
        <f t="shared" si="5"/>
        <v>27293.75</v>
      </c>
      <c r="I44" s="63">
        <f t="shared" si="5"/>
        <v>-23615</v>
      </c>
      <c r="J44" s="63">
        <f t="shared" si="5"/>
        <v>28020</v>
      </c>
      <c r="K44" s="63">
        <f t="shared" si="5"/>
        <v>28050</v>
      </c>
      <c r="L44" s="63">
        <f t="shared" si="5"/>
        <v>25800</v>
      </c>
      <c r="M44" s="63">
        <f t="shared" si="5"/>
        <v>24975</v>
      </c>
      <c r="N44" s="63">
        <f t="shared" si="5"/>
        <v>24405</v>
      </c>
      <c r="O44" s="36"/>
    </row>
    <row r="45" spans="2:15" ht="17.25" x14ac:dyDescent="0.4">
      <c r="B45" s="34" t="s">
        <v>89</v>
      </c>
      <c r="C45" s="35"/>
      <c r="D45" s="35"/>
      <c r="E45" s="35"/>
      <c r="F45" s="35">
        <f>F46-F44</f>
        <v>-2393</v>
      </c>
      <c r="G45" s="35">
        <f t="shared" ref="G45:N45" si="6">G46-G44</f>
        <v>-8484.75</v>
      </c>
      <c r="H45" s="35">
        <f t="shared" si="6"/>
        <v>-7293.75</v>
      </c>
      <c r="I45" s="35">
        <f t="shared" si="6"/>
        <v>43615</v>
      </c>
      <c r="J45" s="35">
        <f t="shared" si="6"/>
        <v>-8020</v>
      </c>
      <c r="K45" s="35">
        <f t="shared" si="6"/>
        <v>-8050</v>
      </c>
      <c r="L45" s="35">
        <f t="shared" si="6"/>
        <v>-5800</v>
      </c>
      <c r="M45" s="35">
        <f t="shared" si="6"/>
        <v>-4975</v>
      </c>
      <c r="N45" s="35">
        <f t="shared" si="6"/>
        <v>-4405</v>
      </c>
      <c r="O45" s="30"/>
    </row>
    <row r="46" spans="2:15" x14ac:dyDescent="0.25">
      <c r="B46" s="36" t="s">
        <v>90</v>
      </c>
      <c r="C46" s="36"/>
      <c r="D46" s="36"/>
      <c r="E46" s="36">
        <v>15000</v>
      </c>
      <c r="F46" s="36">
        <f>L26</f>
        <v>20000</v>
      </c>
      <c r="G46" s="36">
        <f>F46</f>
        <v>20000</v>
      </c>
      <c r="H46" s="63">
        <f t="shared" ref="H46:N46" si="7">G46</f>
        <v>20000</v>
      </c>
      <c r="I46" s="63">
        <f t="shared" si="7"/>
        <v>20000</v>
      </c>
      <c r="J46" s="63">
        <f t="shared" si="7"/>
        <v>20000</v>
      </c>
      <c r="K46" s="63">
        <f t="shared" si="7"/>
        <v>20000</v>
      </c>
      <c r="L46" s="63">
        <f t="shared" si="7"/>
        <v>20000</v>
      </c>
      <c r="M46" s="63">
        <f t="shared" si="7"/>
        <v>20000</v>
      </c>
      <c r="N46" s="63">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141</v>
      </c>
      <c r="C48" s="36"/>
      <c r="D48" s="36"/>
      <c r="E48" s="33"/>
      <c r="F48" s="33">
        <f>F45</f>
        <v>-2393</v>
      </c>
      <c r="G48" s="33">
        <f>F48+G45</f>
        <v>-10877.75</v>
      </c>
      <c r="H48" s="62">
        <f t="shared" ref="H48:N48" si="8">G48+H45</f>
        <v>-18171.5</v>
      </c>
      <c r="I48" s="62">
        <f t="shared" si="8"/>
        <v>25443.5</v>
      </c>
      <c r="J48" s="62">
        <f t="shared" si="8"/>
        <v>17423.5</v>
      </c>
      <c r="K48" s="62">
        <f t="shared" si="8"/>
        <v>9373.5</v>
      </c>
      <c r="L48" s="62">
        <f t="shared" si="8"/>
        <v>3573.5</v>
      </c>
      <c r="M48" s="62">
        <f t="shared" si="8"/>
        <v>-1401.5</v>
      </c>
      <c r="N48" s="62">
        <f t="shared" si="8"/>
        <v>-5806.5</v>
      </c>
      <c r="O48" s="35"/>
    </row>
    <row r="49" spans="2:14" ht="15.75" thickBot="1" x14ac:dyDescent="0.3">
      <c r="B49" s="32"/>
      <c r="C49" s="32"/>
      <c r="D49" s="32"/>
      <c r="E49" s="33"/>
      <c r="F49" s="33"/>
      <c r="G49" s="33"/>
      <c r="H49" s="33"/>
      <c r="I49" s="33"/>
      <c r="J49" s="33"/>
      <c r="K49" s="33"/>
      <c r="L49" s="33"/>
      <c r="M49" s="33"/>
      <c r="N49" s="33"/>
    </row>
    <row r="50" spans="2:14" ht="19.5" thickBot="1" x14ac:dyDescent="0.3">
      <c r="B50" s="174" t="s">
        <v>110</v>
      </c>
      <c r="C50" s="174"/>
      <c r="D50" s="174"/>
      <c r="E50" s="174"/>
      <c r="F50" s="174"/>
      <c r="G50" s="174"/>
      <c r="H50" s="174"/>
      <c r="I50" s="174"/>
      <c r="J50" s="174"/>
      <c r="K50" s="174"/>
      <c r="L50" s="174"/>
      <c r="M50" s="174"/>
      <c r="N50" s="174"/>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0</v>
      </c>
      <c r="G52" s="62">
        <f t="shared" si="9"/>
        <v>0</v>
      </c>
      <c r="H52" s="62">
        <f t="shared" si="9"/>
        <v>0</v>
      </c>
      <c r="I52" s="62">
        <f t="shared" si="9"/>
        <v>25443.5</v>
      </c>
      <c r="J52" s="62">
        <f t="shared" si="9"/>
        <v>17423.5</v>
      </c>
      <c r="K52" s="62">
        <f t="shared" si="9"/>
        <v>9373.5</v>
      </c>
      <c r="L52" s="62">
        <f t="shared" si="9"/>
        <v>3573.5</v>
      </c>
      <c r="M52" s="62">
        <f t="shared" si="9"/>
        <v>0</v>
      </c>
      <c r="N52" s="62">
        <f t="shared" si="9"/>
        <v>0</v>
      </c>
    </row>
    <row r="53" spans="2:14" x14ac:dyDescent="0.25">
      <c r="B53" s="33" t="s">
        <v>92</v>
      </c>
      <c r="C53" s="33"/>
      <c r="D53" s="33"/>
      <c r="E53" s="33">
        <v>0</v>
      </c>
      <c r="F53" s="33">
        <f t="shared" ref="F53:N53" si="10">IF(F48&lt;0,-F48,0)</f>
        <v>2393</v>
      </c>
      <c r="G53" s="62">
        <f t="shared" si="10"/>
        <v>10877.75</v>
      </c>
      <c r="H53" s="62">
        <f t="shared" si="10"/>
        <v>18171.5</v>
      </c>
      <c r="I53" s="62">
        <f t="shared" si="10"/>
        <v>0</v>
      </c>
      <c r="J53" s="62">
        <f t="shared" si="10"/>
        <v>0</v>
      </c>
      <c r="K53" s="62">
        <f t="shared" si="10"/>
        <v>0</v>
      </c>
      <c r="L53" s="62">
        <f t="shared" si="10"/>
        <v>0</v>
      </c>
      <c r="M53" s="62">
        <f t="shared" si="10"/>
        <v>1401.5</v>
      </c>
      <c r="N53" s="62">
        <f t="shared" si="10"/>
        <v>5806.5</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Hawley on 2/17/2014">
      <inputCells r="F22" val="0.4" numFmtId="9"/>
      <inputCells r="F23" val="0.15" numFmtId="9"/>
      <inputCells r="F24" val="0.45" numFmtId="9"/>
    </scenario>
    <scenario name="Normal" locked="1" count="3" user="Del Hawley" comment="Created by Del on 9/22/2011_x000a_Modified by Del on 6/9/2012_x000a_Modified by D Hawley on 9/22/2013_x000a_Modified by Del Hawley on 2/17/2014">
      <inputCells r="F22" val="0.3" numFmtId="9"/>
      <inputCells r="F23" val="0.15" numFmtId="9"/>
      <inputCells r="F24" val="0.55" numFmtId="9"/>
    </scenario>
    <scenario name="Bad" locked="1" count="3" user="Del Hawley" comment="Created by Del on 9/22/2011_x000a_Modified by D Hawley on 9/22/2013_x000a_Modified by Del Hawley on 2/17/2014">
      <inputCells r="F22" val="0.2" numFmtId="9"/>
      <inputCells r="F23" val="0.15" numFmtId="9"/>
      <inputCells r="F24" val="0.6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K27" sqref="K27"/>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146" t="s">
        <v>157</v>
      </c>
      <c r="C2" s="146"/>
      <c r="D2" s="72"/>
      <c r="E2" s="72"/>
      <c r="F2" s="72"/>
      <c r="G2" s="72"/>
    </row>
    <row r="3" spans="2:7" ht="15.75" collapsed="1" x14ac:dyDescent="0.25">
      <c r="B3" s="145"/>
      <c r="C3" s="145"/>
      <c r="D3" s="73" t="s">
        <v>159</v>
      </c>
      <c r="E3" s="73" t="s">
        <v>154</v>
      </c>
      <c r="F3" s="73" t="s">
        <v>155</v>
      </c>
      <c r="G3" s="73" t="s">
        <v>156</v>
      </c>
    </row>
    <row r="4" spans="2:7" ht="112.5" hidden="1" outlineLevel="1" x14ac:dyDescent="0.25">
      <c r="B4" s="147"/>
      <c r="C4" s="147"/>
      <c r="D4" s="67"/>
      <c r="E4" s="75" t="s">
        <v>215</v>
      </c>
      <c r="F4" s="75" t="s">
        <v>216</v>
      </c>
      <c r="G4" s="75" t="s">
        <v>215</v>
      </c>
    </row>
    <row r="5" spans="2:7" x14ac:dyDescent="0.25">
      <c r="B5" s="148" t="s">
        <v>158</v>
      </c>
      <c r="C5" s="148"/>
      <c r="D5" s="71"/>
      <c r="E5" s="71"/>
      <c r="F5" s="71"/>
      <c r="G5" s="71"/>
    </row>
    <row r="6" spans="2:7" outlineLevel="1" x14ac:dyDescent="0.25">
      <c r="B6" s="147"/>
      <c r="C6" s="147" t="s">
        <v>142</v>
      </c>
      <c r="D6" s="68">
        <v>0.3</v>
      </c>
      <c r="E6" s="74">
        <v>0.4</v>
      </c>
      <c r="F6" s="74">
        <v>0.3</v>
      </c>
      <c r="G6" s="74">
        <v>0.2</v>
      </c>
    </row>
    <row r="7" spans="2:7" outlineLevel="1" x14ac:dyDescent="0.25">
      <c r="B7" s="147"/>
      <c r="C7" s="147" t="s">
        <v>143</v>
      </c>
      <c r="D7" s="68">
        <v>0.15</v>
      </c>
      <c r="E7" s="74">
        <v>0.15</v>
      </c>
      <c r="F7" s="74">
        <v>0.15</v>
      </c>
      <c r="G7" s="74">
        <v>0.15</v>
      </c>
    </row>
    <row r="8" spans="2:7" outlineLevel="1" x14ac:dyDescent="0.25">
      <c r="B8" s="147"/>
      <c r="C8" s="147" t="s">
        <v>144</v>
      </c>
      <c r="D8" s="68">
        <v>0.55000000000000004</v>
      </c>
      <c r="E8" s="74">
        <v>0.45</v>
      </c>
      <c r="F8" s="74">
        <v>0.55000000000000004</v>
      </c>
      <c r="G8" s="74">
        <v>0.65</v>
      </c>
    </row>
    <row r="9" spans="2:7" x14ac:dyDescent="0.25">
      <c r="B9" s="148" t="s">
        <v>160</v>
      </c>
      <c r="C9" s="148"/>
      <c r="D9" s="71"/>
      <c r="E9" s="71"/>
      <c r="F9" s="71"/>
      <c r="G9" s="71"/>
    </row>
    <row r="10" spans="2:7" outlineLevel="1" x14ac:dyDescent="0.25">
      <c r="B10" s="147"/>
      <c r="C10" s="147" t="s">
        <v>145</v>
      </c>
      <c r="D10" s="69">
        <v>7393</v>
      </c>
      <c r="E10" s="69">
        <v>7305.5</v>
      </c>
      <c r="F10" s="69">
        <v>7393</v>
      </c>
      <c r="G10" s="69">
        <v>7480.5</v>
      </c>
    </row>
    <row r="11" spans="2:7" outlineLevel="1" x14ac:dyDescent="0.25">
      <c r="B11" s="147"/>
      <c r="C11" s="147" t="s">
        <v>146</v>
      </c>
      <c r="D11" s="69">
        <v>8484.75</v>
      </c>
      <c r="E11" s="69">
        <v>8222.75</v>
      </c>
      <c r="F11" s="69">
        <v>8484.75</v>
      </c>
      <c r="G11" s="69">
        <v>8746.75</v>
      </c>
    </row>
    <row r="12" spans="2:7" outlineLevel="1" x14ac:dyDescent="0.25">
      <c r="B12" s="147"/>
      <c r="C12" s="147" t="s">
        <v>147</v>
      </c>
      <c r="D12" s="69">
        <v>7293.75</v>
      </c>
      <c r="E12" s="69">
        <v>7371.25</v>
      </c>
      <c r="F12" s="69">
        <v>7293.75</v>
      </c>
      <c r="G12" s="69">
        <v>7216.25</v>
      </c>
    </row>
    <row r="13" spans="2:7" outlineLevel="1" x14ac:dyDescent="0.25">
      <c r="B13" s="147"/>
      <c r="C13" s="147" t="s">
        <v>148</v>
      </c>
      <c r="D13" s="69">
        <v>-43615</v>
      </c>
      <c r="E13" s="69">
        <v>-43415</v>
      </c>
      <c r="F13" s="69">
        <v>-43615</v>
      </c>
      <c r="G13" s="69">
        <v>-43815</v>
      </c>
    </row>
    <row r="14" spans="2:7" outlineLevel="1" x14ac:dyDescent="0.25">
      <c r="B14" s="147"/>
      <c r="C14" s="147" t="s">
        <v>149</v>
      </c>
      <c r="D14" s="69">
        <v>8020</v>
      </c>
      <c r="E14" s="69">
        <v>7880</v>
      </c>
      <c r="F14" s="69">
        <v>8020</v>
      </c>
      <c r="G14" s="69">
        <v>8160</v>
      </c>
    </row>
    <row r="15" spans="2:7" outlineLevel="1" x14ac:dyDescent="0.25">
      <c r="B15" s="147"/>
      <c r="C15" s="147" t="s">
        <v>150</v>
      </c>
      <c r="D15" s="69">
        <v>8050</v>
      </c>
      <c r="E15" s="69">
        <v>7600</v>
      </c>
      <c r="F15" s="69">
        <v>8050</v>
      </c>
      <c r="G15" s="69">
        <v>8500</v>
      </c>
    </row>
    <row r="16" spans="2:7" outlineLevel="1" x14ac:dyDescent="0.25">
      <c r="B16" s="147"/>
      <c r="C16" s="147" t="s">
        <v>151</v>
      </c>
      <c r="D16" s="69">
        <v>5800</v>
      </c>
      <c r="E16" s="69">
        <v>5400</v>
      </c>
      <c r="F16" s="69">
        <v>5800</v>
      </c>
      <c r="G16" s="69">
        <v>6200</v>
      </c>
    </row>
    <row r="17" spans="2:7" outlineLevel="1" x14ac:dyDescent="0.25">
      <c r="B17" s="147"/>
      <c r="C17" s="147" t="s">
        <v>152</v>
      </c>
      <c r="D17" s="69">
        <v>4975</v>
      </c>
      <c r="E17" s="69">
        <v>4995</v>
      </c>
      <c r="F17" s="69">
        <v>4975</v>
      </c>
      <c r="G17" s="69">
        <v>4955</v>
      </c>
    </row>
    <row r="18" spans="2:7" ht="15.75" outlineLevel="1" thickBot="1" x14ac:dyDescent="0.3">
      <c r="B18" s="149"/>
      <c r="C18" s="149" t="s">
        <v>153</v>
      </c>
      <c r="D18" s="70">
        <v>4405</v>
      </c>
      <c r="E18" s="70">
        <v>4705</v>
      </c>
      <c r="F18" s="70">
        <v>4405</v>
      </c>
      <c r="G18" s="70">
        <v>4105</v>
      </c>
    </row>
    <row r="19" spans="2:7" x14ac:dyDescent="0.25">
      <c r="B19" t="s">
        <v>161</v>
      </c>
    </row>
    <row r="20" spans="2:7" x14ac:dyDescent="0.25">
      <c r="B20" t="s">
        <v>162</v>
      </c>
    </row>
    <row r="21" spans="2:7" x14ac:dyDescent="0.25">
      <c r="B21" t="s">
        <v>163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topLeftCell="A10" workbookViewId="0">
      <selection activeCell="M30" sqref="M30"/>
    </sheetView>
  </sheetViews>
  <sheetFormatPr defaultRowHeight="15" x14ac:dyDescent="0.25"/>
  <cols>
    <col min="10" max="10" width="17.28515625" customWidth="1"/>
  </cols>
  <sheetData>
    <row r="5" spans="10:19" x14ac:dyDescent="0.35">
      <c r="K5" t="s">
        <v>164</v>
      </c>
      <c r="L5" t="s">
        <v>165</v>
      </c>
      <c r="M5" s="64" t="s">
        <v>166</v>
      </c>
      <c r="N5" s="64" t="s">
        <v>167</v>
      </c>
      <c r="O5" s="64" t="s">
        <v>168</v>
      </c>
      <c r="P5" s="64" t="s">
        <v>169</v>
      </c>
      <c r="Q5" s="64" t="s">
        <v>170</v>
      </c>
      <c r="R5" s="64" t="s">
        <v>171</v>
      </c>
      <c r="S5" s="64" t="s">
        <v>172</v>
      </c>
    </row>
    <row r="6" spans="10:19" x14ac:dyDescent="0.35">
      <c r="J6" t="s">
        <v>174</v>
      </c>
      <c r="K6" s="62">
        <f>-'Prob 2 - 25 Pts '!F52</f>
        <v>0</v>
      </c>
      <c r="L6" s="62">
        <f>-'Prob 2 - 25 Pts '!G52</f>
        <v>0</v>
      </c>
      <c r="M6" s="62">
        <f>-'Prob 2 - 25 Pts '!H52</f>
        <v>0</v>
      </c>
      <c r="N6" s="62">
        <f>-'Prob 2 - 25 Pts '!I52</f>
        <v>-25443.5</v>
      </c>
      <c r="O6" s="62">
        <f>-'Prob 2 - 25 Pts '!J52</f>
        <v>-17423.5</v>
      </c>
      <c r="P6" s="62">
        <f>-'Prob 2 - 25 Pts '!K52</f>
        <v>-9373.5</v>
      </c>
      <c r="Q6" s="62">
        <f>-'Prob 2 - 25 Pts '!L52</f>
        <v>-3573.5</v>
      </c>
      <c r="R6" s="62">
        <f>-'Prob 2 - 25 Pts '!M52</f>
        <v>0</v>
      </c>
      <c r="S6" s="62">
        <f>-'Prob 2 - 25 Pts '!N52</f>
        <v>0</v>
      </c>
    </row>
    <row r="7" spans="10:19" x14ac:dyDescent="0.35">
      <c r="J7" t="s">
        <v>173</v>
      </c>
      <c r="K7" s="62">
        <f>'Prob 2 - 25 Pts '!F53</f>
        <v>2393</v>
      </c>
      <c r="L7" s="62">
        <f>'Prob 2 - 25 Pts '!G53</f>
        <v>10877.75</v>
      </c>
      <c r="M7" s="62">
        <f>'Prob 2 - 25 Pts '!H53</f>
        <v>18171.5</v>
      </c>
      <c r="N7" s="62">
        <f>'Prob 2 - 25 Pts '!I53</f>
        <v>0</v>
      </c>
      <c r="O7" s="62">
        <f>'Prob 2 - 25 Pts '!J53</f>
        <v>0</v>
      </c>
      <c r="P7" s="62">
        <f>'Prob 2 - 25 Pts '!K53</f>
        <v>0</v>
      </c>
      <c r="Q7" s="62">
        <f>'Prob 2 - 25 Pts '!L53</f>
        <v>0</v>
      </c>
      <c r="R7" s="62">
        <f>'Prob 2 - 25 Pts '!M53</f>
        <v>1401.5</v>
      </c>
      <c r="S7" s="62">
        <f>'Prob 2 - 25 Pts '!N53</f>
        <v>5806.5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7"/>
  <sheetViews>
    <sheetView zoomScale="85" zoomScaleNormal="85" workbookViewId="0">
      <selection activeCell="C24" sqref="C24"/>
    </sheetView>
  </sheetViews>
  <sheetFormatPr defaultRowHeight="15" x14ac:dyDescent="0.25"/>
  <cols>
    <col min="1" max="1" width="9.140625" style="10"/>
    <col min="2" max="3" width="11.5703125" style="10" customWidth="1"/>
    <col min="4" max="4" width="13.7109375" style="10" customWidth="1"/>
    <col min="5" max="5" width="14.28515625" style="10" customWidth="1"/>
    <col min="6" max="6" width="9.140625" style="10"/>
    <col min="7" max="8" width="17" style="10" customWidth="1"/>
    <col min="9" max="16384" width="9.140625" style="10"/>
  </cols>
  <sheetData>
    <row r="3" spans="2:7" ht="86.25" customHeight="1" x14ac:dyDescent="0.25"/>
    <row r="5" spans="2:7" ht="15.75" thickBot="1" x14ac:dyDescent="0.3"/>
    <row r="6" spans="2:7" ht="52.5" customHeight="1" thickBot="1" x14ac:dyDescent="0.3">
      <c r="B6" s="118" t="s">
        <v>187</v>
      </c>
      <c r="C6" s="119" t="s">
        <v>193</v>
      </c>
      <c r="D6" s="119" t="s">
        <v>188</v>
      </c>
      <c r="E6" s="120" t="s">
        <v>189</v>
      </c>
    </row>
    <row r="7" spans="2:7" x14ac:dyDescent="0.25">
      <c r="B7" s="115">
        <v>2000</v>
      </c>
      <c r="C7" s="116">
        <v>9.44</v>
      </c>
      <c r="D7" s="117"/>
      <c r="E7" s="117"/>
    </row>
    <row r="8" spans="2:7" x14ac:dyDescent="0.25">
      <c r="B8" s="109">
        <v>2001</v>
      </c>
      <c r="C8" s="107">
        <v>10.9</v>
      </c>
      <c r="D8" s="108">
        <f>C8/C7-1</f>
        <v>0.15466101694915269</v>
      </c>
      <c r="E8" s="110">
        <f>1+D8</f>
        <v>1.1546610169491527</v>
      </c>
    </row>
    <row r="9" spans="2:7" x14ac:dyDescent="0.25">
      <c r="B9" s="109">
        <v>2002</v>
      </c>
      <c r="C9" s="107">
        <v>10.199999999999999</v>
      </c>
      <c r="D9" s="108">
        <f t="shared" ref="D9:D20" si="0">C9/C8-1</f>
        <v>-6.4220183486238591E-2</v>
      </c>
      <c r="E9" s="110">
        <f t="shared" ref="E9:E20" si="1">1+D9</f>
        <v>0.93577981651376141</v>
      </c>
      <c r="G9" s="151"/>
    </row>
    <row r="10" spans="2:7" x14ac:dyDescent="0.25">
      <c r="B10" s="109">
        <v>2003</v>
      </c>
      <c r="C10" s="107">
        <v>11.75</v>
      </c>
      <c r="D10" s="108">
        <f t="shared" si="0"/>
        <v>0.15196078431372562</v>
      </c>
      <c r="E10" s="110">
        <f t="shared" si="1"/>
        <v>1.1519607843137256</v>
      </c>
      <c r="G10" s="151"/>
    </row>
    <row r="11" spans="2:7" x14ac:dyDescent="0.25">
      <c r="B11" s="109">
        <v>2004</v>
      </c>
      <c r="C11" s="107">
        <v>12.5</v>
      </c>
      <c r="D11" s="108">
        <f t="shared" si="0"/>
        <v>6.3829787234042534E-2</v>
      </c>
      <c r="E11" s="110">
        <f t="shared" si="1"/>
        <v>1.0638297872340425</v>
      </c>
      <c r="G11" s="151"/>
    </row>
    <row r="12" spans="2:7" x14ac:dyDescent="0.25">
      <c r="B12" s="109">
        <v>2005</v>
      </c>
      <c r="C12" s="107">
        <v>11.6</v>
      </c>
      <c r="D12" s="108">
        <f t="shared" si="0"/>
        <v>-7.2000000000000064E-2</v>
      </c>
      <c r="E12" s="110">
        <f t="shared" si="1"/>
        <v>0.92799999999999994</v>
      </c>
      <c r="G12" s="151"/>
    </row>
    <row r="13" spans="2:7" x14ac:dyDescent="0.25">
      <c r="B13" s="109">
        <v>2006</v>
      </c>
      <c r="C13" s="107">
        <v>13.9</v>
      </c>
      <c r="D13" s="108">
        <f t="shared" si="0"/>
        <v>0.19827586206896552</v>
      </c>
      <c r="E13" s="110">
        <f t="shared" si="1"/>
        <v>1.1982758620689655</v>
      </c>
      <c r="G13" s="151"/>
    </row>
    <row r="14" spans="2:7" x14ac:dyDescent="0.25">
      <c r="B14" s="109">
        <v>2007</v>
      </c>
      <c r="C14" s="107">
        <v>14.5</v>
      </c>
      <c r="D14" s="108">
        <f t="shared" si="0"/>
        <v>4.3165467625899234E-2</v>
      </c>
      <c r="E14" s="110">
        <f t="shared" si="1"/>
        <v>1.0431654676258992</v>
      </c>
      <c r="G14" s="151"/>
    </row>
    <row r="15" spans="2:7" x14ac:dyDescent="0.25">
      <c r="B15" s="109">
        <v>2008</v>
      </c>
      <c r="C15" s="107">
        <v>13.2</v>
      </c>
      <c r="D15" s="108">
        <f t="shared" si="0"/>
        <v>-8.9655172413793172E-2</v>
      </c>
      <c r="E15" s="110">
        <f t="shared" si="1"/>
        <v>0.91034482758620683</v>
      </c>
      <c r="G15" s="151"/>
    </row>
    <row r="16" spans="2:7" x14ac:dyDescent="0.25">
      <c r="B16" s="109">
        <v>2009</v>
      </c>
      <c r="C16" s="107">
        <v>9.75</v>
      </c>
      <c r="D16" s="108">
        <f t="shared" si="0"/>
        <v>-0.26136363636363635</v>
      </c>
      <c r="E16" s="110">
        <f t="shared" si="1"/>
        <v>0.73863636363636365</v>
      </c>
      <c r="G16" s="151"/>
    </row>
    <row r="17" spans="2:8" x14ac:dyDescent="0.25">
      <c r="B17" s="109">
        <v>2010</v>
      </c>
      <c r="C17" s="107">
        <v>11.5</v>
      </c>
      <c r="D17" s="108">
        <f t="shared" si="0"/>
        <v>0.17948717948717952</v>
      </c>
      <c r="E17" s="110">
        <f t="shared" si="1"/>
        <v>1.1794871794871795</v>
      </c>
      <c r="G17" s="151"/>
    </row>
    <row r="18" spans="2:8" x14ac:dyDescent="0.25">
      <c r="B18" s="109">
        <v>2011</v>
      </c>
      <c r="C18" s="107">
        <v>12.2</v>
      </c>
      <c r="D18" s="108">
        <f t="shared" si="0"/>
        <v>6.0869565217391175E-2</v>
      </c>
      <c r="E18" s="110">
        <f t="shared" si="1"/>
        <v>1.0608695652173912</v>
      </c>
      <c r="G18" s="151"/>
    </row>
    <row r="19" spans="2:8" x14ac:dyDescent="0.25">
      <c r="B19" s="109">
        <v>2012</v>
      </c>
      <c r="C19" s="107">
        <v>13.1</v>
      </c>
      <c r="D19" s="108">
        <f t="shared" si="0"/>
        <v>7.3770491803278659E-2</v>
      </c>
      <c r="E19" s="110">
        <f t="shared" si="1"/>
        <v>1.0737704918032787</v>
      </c>
      <c r="G19" s="151"/>
      <c r="H19" s="151"/>
    </row>
    <row r="20" spans="2:8" ht="15.75" thickBot="1" x14ac:dyDescent="0.3">
      <c r="B20" s="111">
        <v>2013</v>
      </c>
      <c r="C20" s="112">
        <v>15</v>
      </c>
      <c r="D20" s="113">
        <f t="shared" si="0"/>
        <v>0.14503816793893143</v>
      </c>
      <c r="E20" s="114">
        <f t="shared" si="1"/>
        <v>1.1450381679389314</v>
      </c>
      <c r="G20" s="151"/>
      <c r="H20" s="151"/>
    </row>
    <row r="21" spans="2:8" x14ac:dyDescent="0.25">
      <c r="B21" s="121"/>
      <c r="C21" s="122"/>
      <c r="D21" s="122"/>
      <c r="E21" s="123"/>
      <c r="G21" s="150"/>
    </row>
    <row r="22" spans="2:8" x14ac:dyDescent="0.25">
      <c r="B22" s="130" t="s">
        <v>190</v>
      </c>
      <c r="C22" s="124"/>
      <c r="D22" s="124"/>
      <c r="E22" s="125"/>
    </row>
    <row r="23" spans="2:8" ht="15.75" thickBot="1" x14ac:dyDescent="0.3">
      <c r="B23" s="126"/>
      <c r="C23" s="175"/>
      <c r="D23" s="175"/>
      <c r="E23" s="125"/>
    </row>
    <row r="24" spans="2:8" ht="15.75" thickBot="1" x14ac:dyDescent="0.3">
      <c r="B24" s="126"/>
      <c r="C24" s="131">
        <f>GEOMEAN(E8:E20)-1</f>
        <v>3.6264719945645396E-2</v>
      </c>
      <c r="D24" s="124" t="s">
        <v>191</v>
      </c>
      <c r="E24" s="125"/>
    </row>
    <row r="25" spans="2:8" ht="15.75" thickBot="1" x14ac:dyDescent="0.3">
      <c r="B25" s="126"/>
      <c r="C25" s="132"/>
      <c r="D25" s="124"/>
      <c r="E25" s="125"/>
    </row>
    <row r="26" spans="2:8" ht="15.75" thickBot="1" x14ac:dyDescent="0.3">
      <c r="B26" s="126"/>
      <c r="C26" s="131">
        <f>(PRODUCT(E8:E20)^(1/13))-1</f>
        <v>3.6264719945645396E-2</v>
      </c>
      <c r="D26" s="124" t="s">
        <v>192</v>
      </c>
      <c r="E26" s="125"/>
    </row>
    <row r="27" spans="2:8" ht="15.75" thickBot="1" x14ac:dyDescent="0.3">
      <c r="B27" s="127"/>
      <c r="C27" s="128"/>
      <c r="D27" s="128"/>
      <c r="E27" s="129"/>
    </row>
  </sheetData>
  <mergeCells count="1">
    <mergeCell ref="C23:D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0"/>
  <sheetViews>
    <sheetView zoomScale="70" zoomScaleNormal="70" workbookViewId="0">
      <selection activeCell="B12" sqref="B12"/>
    </sheetView>
  </sheetViews>
  <sheetFormatPr defaultRowHeight="15" x14ac:dyDescent="0.25"/>
  <cols>
    <col min="1" max="1" width="5.140625" style="97" customWidth="1"/>
    <col min="2" max="5" width="20.7109375" style="97" customWidth="1"/>
    <col min="6" max="6" width="9.140625" style="97"/>
    <col min="7" max="7" width="10.5703125" style="97" customWidth="1"/>
    <col min="8" max="16384" width="9.140625" style="97"/>
  </cols>
  <sheetData>
    <row r="1" spans="2:5" ht="38.25" customHeight="1" x14ac:dyDescent="0.25"/>
    <row r="2" spans="2:5" ht="38.25" customHeight="1" x14ac:dyDescent="0.25"/>
    <row r="3" spans="2:5" ht="38.25" customHeight="1" x14ac:dyDescent="0.25"/>
    <row r="4" spans="2:5" ht="21" customHeight="1" x14ac:dyDescent="0.25"/>
    <row r="5" spans="2:5" ht="21" customHeight="1" thickBot="1" x14ac:dyDescent="0.3"/>
    <row r="6" spans="2:5" ht="50.1" customHeight="1" thickBot="1" x14ac:dyDescent="0.3">
      <c r="B6" s="177" t="s">
        <v>218</v>
      </c>
      <c r="C6" s="178"/>
      <c r="D6" s="178"/>
      <c r="E6" s="179"/>
    </row>
    <row r="7" spans="2:5" ht="24.95" customHeight="1" thickBot="1" x14ac:dyDescent="0.3">
      <c r="B7" s="161" t="s">
        <v>187</v>
      </c>
      <c r="C7" s="162" t="s">
        <v>12</v>
      </c>
      <c r="D7" s="162" t="s">
        <v>18</v>
      </c>
      <c r="E7" s="163" t="s">
        <v>217</v>
      </c>
    </row>
    <row r="8" spans="2:5" ht="24.95" customHeight="1" x14ac:dyDescent="0.25">
      <c r="B8" s="156">
        <v>2004</v>
      </c>
      <c r="C8" s="157">
        <v>65000</v>
      </c>
      <c r="D8" s="157">
        <v>2000</v>
      </c>
      <c r="E8" s="158">
        <f>D8/C8</f>
        <v>3.0769230769230771E-2</v>
      </c>
    </row>
    <row r="9" spans="2:5" ht="24.95" customHeight="1" x14ac:dyDescent="0.25">
      <c r="B9" s="159">
        <v>2005</v>
      </c>
      <c r="C9" s="152">
        <v>68000</v>
      </c>
      <c r="D9" s="152">
        <v>2100</v>
      </c>
      <c r="E9" s="153">
        <f t="shared" ref="E9:E17" si="0">D9/C9</f>
        <v>3.0882352941176472E-2</v>
      </c>
    </row>
    <row r="10" spans="2:5" ht="24.95" customHeight="1" x14ac:dyDescent="0.25">
      <c r="B10" s="159">
        <v>2006</v>
      </c>
      <c r="C10" s="152">
        <v>69500</v>
      </c>
      <c r="D10" s="152">
        <v>2000</v>
      </c>
      <c r="E10" s="153">
        <f t="shared" si="0"/>
        <v>2.8776978417266189E-2</v>
      </c>
    </row>
    <row r="11" spans="2:5" ht="24.95" customHeight="1" x14ac:dyDescent="0.25">
      <c r="B11" s="159">
        <v>2007</v>
      </c>
      <c r="C11" s="152">
        <v>72000</v>
      </c>
      <c r="D11" s="152">
        <v>2200</v>
      </c>
      <c r="E11" s="153">
        <f t="shared" si="0"/>
        <v>3.0555555555555555E-2</v>
      </c>
    </row>
    <row r="12" spans="2:5" ht="24.95" customHeight="1" x14ac:dyDescent="0.25">
      <c r="B12" s="159">
        <v>2008</v>
      </c>
      <c r="C12" s="152">
        <v>75800</v>
      </c>
      <c r="D12" s="152">
        <v>2310</v>
      </c>
      <c r="E12" s="153">
        <f t="shared" si="0"/>
        <v>3.0474934036939315E-2</v>
      </c>
    </row>
    <row r="13" spans="2:5" ht="24.95" customHeight="1" x14ac:dyDescent="0.25">
      <c r="B13" s="159">
        <v>2009</v>
      </c>
      <c r="C13" s="152">
        <v>82400</v>
      </c>
      <c r="D13" s="152">
        <v>2400</v>
      </c>
      <c r="E13" s="153">
        <f t="shared" si="0"/>
        <v>2.9126213592233011E-2</v>
      </c>
    </row>
    <row r="14" spans="2:5" ht="24.95" customHeight="1" x14ac:dyDescent="0.25">
      <c r="B14" s="159">
        <v>2010</v>
      </c>
      <c r="C14" s="152">
        <v>85600</v>
      </c>
      <c r="D14" s="152">
        <v>2600</v>
      </c>
      <c r="E14" s="153">
        <f t="shared" si="0"/>
        <v>3.0373831775700934E-2</v>
      </c>
    </row>
    <row r="15" spans="2:5" ht="24.95" customHeight="1" x14ac:dyDescent="0.25">
      <c r="B15" s="159">
        <v>2011</v>
      </c>
      <c r="C15" s="152">
        <v>89000</v>
      </c>
      <c r="D15" s="152">
        <v>2700</v>
      </c>
      <c r="E15" s="153">
        <f t="shared" si="0"/>
        <v>3.0337078651685393E-2</v>
      </c>
    </row>
    <row r="16" spans="2:5" ht="24.95" customHeight="1" x14ac:dyDescent="0.25">
      <c r="B16" s="159">
        <v>2012</v>
      </c>
      <c r="C16" s="152">
        <v>95100</v>
      </c>
      <c r="D16" s="152">
        <v>2850</v>
      </c>
      <c r="E16" s="153">
        <f t="shared" si="0"/>
        <v>2.996845425867508E-2</v>
      </c>
    </row>
    <row r="17" spans="2:19" ht="24.95" customHeight="1" thickBot="1" x14ac:dyDescent="0.3">
      <c r="B17" s="160">
        <v>2013</v>
      </c>
      <c r="C17" s="154">
        <v>98000</v>
      </c>
      <c r="D17" s="154">
        <v>3100</v>
      </c>
      <c r="E17" s="155">
        <f t="shared" si="0"/>
        <v>3.1632653061224487E-2</v>
      </c>
    </row>
    <row r="20" spans="2:19" x14ac:dyDescent="0.25">
      <c r="C20" s="176" t="s">
        <v>219</v>
      </c>
      <c r="D20" s="176"/>
      <c r="E20" s="176"/>
      <c r="F20" s="176"/>
      <c r="G20" s="176"/>
      <c r="H20" s="176"/>
      <c r="I20" s="176"/>
      <c r="L20" s="176" t="s">
        <v>220</v>
      </c>
      <c r="M20" s="176"/>
      <c r="N20" s="176"/>
      <c r="O20" s="176"/>
      <c r="P20" s="176"/>
      <c r="Q20" s="176"/>
      <c r="R20" s="176"/>
      <c r="S20" s="176"/>
    </row>
  </sheetData>
  <mergeCells count="3">
    <mergeCell ref="C20:I20"/>
    <mergeCell ref="L20:S20"/>
    <mergeCell ref="B6:E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zoomScale="85" zoomScaleNormal="85" workbookViewId="0">
      <selection activeCell="C6" sqref="C6"/>
    </sheetView>
  </sheetViews>
  <sheetFormatPr defaultRowHeight="15" x14ac:dyDescent="0.25"/>
  <cols>
    <col min="1" max="2" width="3.85546875" customWidth="1"/>
    <col min="3" max="3" width="10.42578125" customWidth="1"/>
    <col min="4" max="4" width="2.85546875" customWidth="1"/>
    <col min="5" max="5" width="2.7109375" customWidth="1"/>
    <col min="6" max="6" width="6" style="89" customWidth="1"/>
  </cols>
  <sheetData>
    <row r="1" spans="2:17" s="97" customFormat="1" x14ac:dyDescent="0.25">
      <c r="F1" s="89"/>
    </row>
    <row r="2" spans="2:17" s="97" customFormat="1" ht="139.5" customHeight="1" x14ac:dyDescent="0.25">
      <c r="F2" s="89"/>
    </row>
    <row r="3" spans="2:17" ht="15.75" thickBot="1" x14ac:dyDescent="0.3">
      <c r="B3" s="1"/>
      <c r="C3" s="134"/>
      <c r="D3" s="1"/>
      <c r="E3" s="1"/>
      <c r="F3" s="135"/>
      <c r="G3" s="1"/>
      <c r="H3" s="1"/>
      <c r="I3" s="1"/>
      <c r="J3" s="1"/>
      <c r="K3" s="1"/>
      <c r="L3" s="1"/>
      <c r="M3" s="1"/>
      <c r="N3" s="1"/>
      <c r="O3" s="1"/>
      <c r="P3" s="1"/>
      <c r="Q3" s="1"/>
    </row>
    <row r="4" spans="2:17" ht="103.15" customHeight="1" thickBot="1" x14ac:dyDescent="0.3">
      <c r="B4" s="136"/>
      <c r="C4" s="137" t="s">
        <v>123</v>
      </c>
      <c r="D4" s="180" t="s">
        <v>129</v>
      </c>
      <c r="E4" s="180"/>
      <c r="F4" s="180"/>
      <c r="G4" s="180"/>
      <c r="H4" s="180"/>
      <c r="I4" s="180"/>
      <c r="J4" s="180"/>
      <c r="K4" s="180"/>
      <c r="L4" s="180"/>
      <c r="M4" s="180"/>
      <c r="N4" s="180"/>
      <c r="O4" s="136"/>
      <c r="P4" s="136"/>
      <c r="Q4" s="136"/>
    </row>
    <row r="5" spans="2:17" ht="15.75" thickBot="1" x14ac:dyDescent="0.3">
      <c r="C5" s="90"/>
      <c r="D5" s="90"/>
    </row>
    <row r="6" spans="2:17" ht="15.75" thickBot="1" x14ac:dyDescent="0.3">
      <c r="C6" s="181" t="s">
        <v>233</v>
      </c>
      <c r="D6" s="92" t="s">
        <v>221</v>
      </c>
    </row>
    <row r="7" spans="2:17" ht="8.4499999999999993" customHeight="1" x14ac:dyDescent="0.25">
      <c r="C7" s="94"/>
      <c r="D7" s="92"/>
    </row>
    <row r="8" spans="2:17" s="97" customFormat="1" ht="14.25" customHeight="1" x14ac:dyDescent="0.25">
      <c r="C8" s="94"/>
      <c r="D8" s="91" t="s">
        <v>222</v>
      </c>
      <c r="F8" s="89"/>
    </row>
    <row r="9" spans="2:17" x14ac:dyDescent="0.25">
      <c r="C9" s="94"/>
      <c r="D9" s="91" t="s">
        <v>197</v>
      </c>
    </row>
    <row r="10" spans="2:17" x14ac:dyDescent="0.25">
      <c r="C10" s="94"/>
      <c r="D10" s="91" t="s">
        <v>198</v>
      </c>
    </row>
    <row r="11" spans="2:17" x14ac:dyDescent="0.25">
      <c r="C11" s="94"/>
      <c r="D11" s="91" t="s">
        <v>199</v>
      </c>
    </row>
    <row r="12" spans="2:17" x14ac:dyDescent="0.25">
      <c r="C12" s="94"/>
      <c r="D12" s="91" t="s">
        <v>122</v>
      </c>
    </row>
    <row r="13" spans="2:17" thickBot="1" x14ac:dyDescent="0.35">
      <c r="C13" s="94"/>
      <c r="D13" s="90"/>
    </row>
    <row r="14" spans="2:17" ht="15.75" thickBot="1" x14ac:dyDescent="0.3">
      <c r="C14" s="95" t="s">
        <v>196</v>
      </c>
      <c r="D14" s="92" t="s">
        <v>177</v>
      </c>
    </row>
    <row r="15" spans="2:17" ht="9.6" customHeight="1" x14ac:dyDescent="0.3">
      <c r="C15" s="90"/>
      <c r="D15" s="92"/>
    </row>
    <row r="16" spans="2:17" x14ac:dyDescent="0.25">
      <c r="C16" s="90"/>
      <c r="D16" s="91" t="s">
        <v>223</v>
      </c>
    </row>
    <row r="17" spans="1:17" x14ac:dyDescent="0.25">
      <c r="C17" s="90"/>
      <c r="D17" s="91" t="s">
        <v>224</v>
      </c>
    </row>
    <row r="18" spans="1:17" x14ac:dyDescent="0.25">
      <c r="C18" s="90"/>
      <c r="D18" s="91" t="s">
        <v>178</v>
      </c>
    </row>
    <row r="19" spans="1:17" x14ac:dyDescent="0.25">
      <c r="C19" s="90"/>
      <c r="D19" s="91" t="s">
        <v>179</v>
      </c>
      <c r="E19" s="90"/>
    </row>
    <row r="20" spans="1:17" x14ac:dyDescent="0.25">
      <c r="C20" s="90"/>
      <c r="D20" s="91" t="s">
        <v>180</v>
      </c>
      <c r="E20" s="90"/>
    </row>
    <row r="21" spans="1:17" ht="15.75" thickBot="1" x14ac:dyDescent="0.3">
      <c r="C21" s="90"/>
      <c r="D21" s="91"/>
      <c r="E21" s="90"/>
    </row>
    <row r="22" spans="1:17" ht="15.75" thickBot="1" x14ac:dyDescent="0.3">
      <c r="C22" s="95" t="s">
        <v>226</v>
      </c>
      <c r="D22" s="92" t="s">
        <v>124</v>
      </c>
      <c r="E22" s="90"/>
    </row>
    <row r="23" spans="1:17" x14ac:dyDescent="0.25">
      <c r="C23" s="94"/>
      <c r="D23" s="92"/>
      <c r="E23" s="90"/>
    </row>
    <row r="24" spans="1:17" x14ac:dyDescent="0.25">
      <c r="C24" s="94"/>
      <c r="D24" s="91" t="s">
        <v>125</v>
      </c>
      <c r="E24" s="90"/>
    </row>
    <row r="25" spans="1:17" x14ac:dyDescent="0.25">
      <c r="C25" s="94"/>
      <c r="D25" s="91" t="s">
        <v>200</v>
      </c>
      <c r="E25" s="90"/>
    </row>
    <row r="26" spans="1:17" x14ac:dyDescent="0.25">
      <c r="C26" s="94"/>
      <c r="D26" s="91" t="s">
        <v>201</v>
      </c>
      <c r="E26" s="90"/>
    </row>
    <row r="27" spans="1:17" x14ac:dyDescent="0.25">
      <c r="C27" s="94"/>
      <c r="D27" s="91" t="s">
        <v>225</v>
      </c>
      <c r="E27" s="90"/>
    </row>
    <row r="28" spans="1:17" x14ac:dyDescent="0.25">
      <c r="C28" s="94"/>
      <c r="D28" s="91" t="s">
        <v>126</v>
      </c>
      <c r="E28" s="90"/>
    </row>
    <row r="29" spans="1:17" ht="15.75" thickBot="1" x14ac:dyDescent="0.3">
      <c r="A29" s="97"/>
      <c r="B29" s="1"/>
      <c r="C29" s="134"/>
      <c r="D29" s="138"/>
      <c r="E29" s="1"/>
      <c r="F29" s="135"/>
      <c r="G29" s="1"/>
      <c r="H29" s="1"/>
      <c r="I29" s="1"/>
      <c r="J29" s="1"/>
      <c r="K29" s="1"/>
      <c r="L29" s="1"/>
      <c r="M29" s="1"/>
      <c r="N29" s="1"/>
      <c r="O29" s="1"/>
      <c r="P29" s="1"/>
      <c r="Q29" s="1"/>
    </row>
    <row r="30" spans="1:17" ht="121.15" customHeight="1" thickBot="1" x14ac:dyDescent="0.3">
      <c r="B30" s="136"/>
      <c r="C30" s="137" t="s">
        <v>127</v>
      </c>
      <c r="D30" s="180" t="s">
        <v>130</v>
      </c>
      <c r="E30" s="180"/>
      <c r="F30" s="180"/>
      <c r="G30" s="180"/>
      <c r="H30" s="180"/>
      <c r="I30" s="180"/>
      <c r="J30" s="180"/>
      <c r="K30" s="180"/>
      <c r="L30" s="180"/>
      <c r="M30" s="180"/>
      <c r="N30" s="180"/>
      <c r="O30" s="136"/>
      <c r="P30" s="136"/>
      <c r="Q30" s="136"/>
    </row>
    <row r="31" spans="1:17" ht="15.75" thickBot="1" x14ac:dyDescent="0.3">
      <c r="C31" s="90"/>
      <c r="D31" s="90"/>
      <c r="E31" s="90"/>
    </row>
    <row r="32" spans="1:17" ht="15.75" thickBot="1" x14ac:dyDescent="0.3">
      <c r="C32" s="95" t="b">
        <v>1</v>
      </c>
      <c r="D32" s="90" t="s">
        <v>227</v>
      </c>
      <c r="E32" s="90"/>
    </row>
    <row r="33" spans="3:6" ht="15.75" thickBot="1" x14ac:dyDescent="0.3">
      <c r="C33" s="90"/>
      <c r="D33" s="90"/>
      <c r="E33" s="90"/>
    </row>
    <row r="34" spans="3:6" ht="15.75" thickBot="1" x14ac:dyDescent="0.3">
      <c r="C34" s="95" t="b">
        <v>0</v>
      </c>
      <c r="D34" s="90" t="s">
        <v>228</v>
      </c>
      <c r="E34" s="90"/>
    </row>
    <row r="35" spans="3:6" x14ac:dyDescent="0.25">
      <c r="C35" s="94"/>
      <c r="D35" s="90" t="s">
        <v>181</v>
      </c>
      <c r="E35" s="90"/>
    </row>
    <row r="36" spans="3:6" ht="15.75" thickBot="1" x14ac:dyDescent="0.3">
      <c r="C36" s="90"/>
      <c r="D36" s="90"/>
      <c r="E36" s="90"/>
    </row>
    <row r="37" spans="3:6" ht="15.75" thickBot="1" x14ac:dyDescent="0.3">
      <c r="C37" s="95" t="b">
        <v>1</v>
      </c>
      <c r="D37" s="90" t="s">
        <v>182</v>
      </c>
      <c r="E37" s="90"/>
    </row>
    <row r="38" spans="3:6" x14ac:dyDescent="0.25">
      <c r="C38" s="94"/>
      <c r="D38" s="90"/>
      <c r="E38" s="90"/>
    </row>
    <row r="39" spans="3:6" ht="7.5" customHeight="1" thickBot="1" x14ac:dyDescent="0.3">
      <c r="C39" s="94"/>
      <c r="D39" s="90"/>
      <c r="E39" s="90"/>
    </row>
    <row r="40" spans="3:6" ht="15.75" thickBot="1" x14ac:dyDescent="0.3">
      <c r="C40" s="95" t="b">
        <v>0</v>
      </c>
      <c r="D40" s="90" t="s">
        <v>229</v>
      </c>
      <c r="E40" s="90"/>
    </row>
    <row r="41" spans="3:6" x14ac:dyDescent="0.25">
      <c r="C41" s="90"/>
      <c r="D41" s="90" t="s">
        <v>128</v>
      </c>
      <c r="E41" s="90"/>
    </row>
    <row r="42" spans="3:6" ht="15.75" thickBot="1" x14ac:dyDescent="0.3">
      <c r="C42" s="94"/>
      <c r="D42" s="90"/>
      <c r="E42" s="90"/>
    </row>
    <row r="43" spans="3:6" s="97" customFormat="1" ht="15.75" thickBot="1" x14ac:dyDescent="0.3">
      <c r="C43" s="95" t="b">
        <v>1</v>
      </c>
      <c r="D43" s="97" t="s">
        <v>230</v>
      </c>
      <c r="F43" s="89"/>
    </row>
    <row r="44" spans="3:6" s="97" customFormat="1" x14ac:dyDescent="0.25">
      <c r="D44" s="97" t="s">
        <v>183</v>
      </c>
      <c r="F44" s="89"/>
    </row>
    <row r="45" spans="3:6" s="97" customFormat="1" ht="9" customHeight="1" thickBot="1" x14ac:dyDescent="0.3">
      <c r="F45" s="89"/>
    </row>
    <row r="46" spans="3:6" ht="15.75" thickBot="1" x14ac:dyDescent="0.3">
      <c r="C46" s="95" t="b">
        <v>0</v>
      </c>
      <c r="D46" s="90" t="s">
        <v>184</v>
      </c>
      <c r="E46" s="90"/>
    </row>
    <row r="47" spans="3:6" ht="15.75" thickBot="1" x14ac:dyDescent="0.3">
      <c r="C47" s="94"/>
      <c r="D47" s="90"/>
      <c r="E47" s="90"/>
    </row>
    <row r="48" spans="3:6" s="97" customFormat="1" ht="15.75" thickBot="1" x14ac:dyDescent="0.3">
      <c r="C48" s="95" t="b">
        <v>0</v>
      </c>
      <c r="D48" s="97" t="s">
        <v>231</v>
      </c>
      <c r="F48" s="89"/>
    </row>
    <row r="49" spans="2:17" s="97" customFormat="1" ht="15.75" thickBot="1" x14ac:dyDescent="0.3">
      <c r="F49" s="89"/>
    </row>
    <row r="50" spans="2:17" ht="15.75" thickBot="1" x14ac:dyDescent="0.3">
      <c r="C50" s="95" t="b">
        <v>1</v>
      </c>
      <c r="D50" s="90" t="s">
        <v>232</v>
      </c>
      <c r="E50" s="90"/>
    </row>
    <row r="51" spans="2:17" ht="15.75" thickBot="1" x14ac:dyDescent="0.3">
      <c r="C51" s="90"/>
      <c r="D51" s="90"/>
      <c r="E51" s="90"/>
    </row>
    <row r="52" spans="2:17" ht="15.75" thickBot="1" x14ac:dyDescent="0.3">
      <c r="B52" s="90"/>
      <c r="C52" s="95" t="b">
        <v>1</v>
      </c>
      <c r="D52" s="93" t="s">
        <v>185</v>
      </c>
      <c r="E52" s="90"/>
    </row>
    <row r="53" spans="2:17" x14ac:dyDescent="0.25">
      <c r="B53" s="90"/>
      <c r="C53" s="90"/>
      <c r="D53" s="90" t="s">
        <v>131</v>
      </c>
      <c r="E53" s="90"/>
    </row>
    <row r="54" spans="2:17" ht="15.75" thickBot="1" x14ac:dyDescent="0.3"/>
    <row r="55" spans="2:17" s="97" customFormat="1" ht="15.75" thickBot="1" x14ac:dyDescent="0.3">
      <c r="C55" s="133" t="b">
        <v>1</v>
      </c>
      <c r="D55" s="97" t="s">
        <v>202</v>
      </c>
      <c r="E55" s="94"/>
    </row>
    <row r="56" spans="2:17" s="97" customFormat="1" x14ac:dyDescent="0.25">
      <c r="D56" s="97" t="s">
        <v>194</v>
      </c>
      <c r="E56" s="94"/>
    </row>
    <row r="57" spans="2:17" s="97" customFormat="1" ht="15.75" thickBot="1" x14ac:dyDescent="0.3">
      <c r="F57" s="89"/>
    </row>
    <row r="58" spans="2:17" s="97" customFormat="1" ht="15.75" thickBot="1" x14ac:dyDescent="0.3">
      <c r="C58" s="133" t="b">
        <v>0</v>
      </c>
      <c r="D58" s="93" t="s">
        <v>203</v>
      </c>
      <c r="E58" s="94"/>
    </row>
    <row r="59" spans="2:17" s="97" customFormat="1" x14ac:dyDescent="0.25">
      <c r="D59" s="97" t="s">
        <v>195</v>
      </c>
      <c r="E59" s="94"/>
    </row>
    <row r="60" spans="2:17" ht="15.75" thickBot="1" x14ac:dyDescent="0.3"/>
    <row r="61" spans="2:17" s="97" customFormat="1" ht="15.75" thickBot="1" x14ac:dyDescent="0.3">
      <c r="C61" s="133" t="b">
        <v>1</v>
      </c>
      <c r="D61" s="93" t="s">
        <v>204</v>
      </c>
      <c r="E61" s="94"/>
    </row>
    <row r="62" spans="2:17" s="97" customFormat="1" x14ac:dyDescent="0.25">
      <c r="D62" s="97" t="s">
        <v>205</v>
      </c>
      <c r="E62" s="94"/>
    </row>
    <row r="63" spans="2:17" ht="15.75" thickBot="1" x14ac:dyDescent="0.3">
      <c r="B63" s="1"/>
      <c r="C63" s="1"/>
      <c r="D63" s="1"/>
      <c r="E63" s="1"/>
      <c r="F63" s="135"/>
      <c r="G63" s="1"/>
      <c r="H63" s="1"/>
      <c r="I63" s="1"/>
      <c r="J63" s="1"/>
      <c r="K63" s="1"/>
      <c r="L63" s="1"/>
      <c r="M63" s="1"/>
      <c r="N63" s="1"/>
      <c r="O63" s="1"/>
      <c r="P63" s="1"/>
      <c r="Q63"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workbookViewId="0">
      <selection activeCell="F18" sqref="F18"/>
    </sheetView>
  </sheetViews>
  <sheetFormatPr defaultRowHeight="15" x14ac:dyDescent="0.25"/>
  <sheetData>
    <row r="2" spans="2:3" ht="21" x14ac:dyDescent="0.4">
      <c r="B2" s="101" t="s">
        <v>186</v>
      </c>
      <c r="C2" s="97"/>
    </row>
    <row r="3" spans="2:3" thickBot="1" x14ac:dyDescent="0.35">
      <c r="B3" s="97"/>
      <c r="C3" s="97"/>
    </row>
    <row r="4" spans="2:3" ht="14.45" x14ac:dyDescent="0.3">
      <c r="B4" s="102">
        <v>1</v>
      </c>
      <c r="C4" s="98" t="str">
        <f>'MC-TF - 20 Pts'!C6</f>
        <v>B</v>
      </c>
    </row>
    <row r="5" spans="2:3" ht="14.45" x14ac:dyDescent="0.3">
      <c r="B5" s="103">
        <v>2</v>
      </c>
      <c r="C5" s="99" t="str">
        <f>'MC-TF - 20 Pts'!C14</f>
        <v>D</v>
      </c>
    </row>
    <row r="6" spans="2:3" thickBot="1" x14ac:dyDescent="0.35">
      <c r="B6" s="104">
        <v>3</v>
      </c>
      <c r="C6" s="100" t="str">
        <f>'MC-TF - 20 Pts'!C22</f>
        <v>E</v>
      </c>
    </row>
    <row r="7" spans="2:3" ht="14.45" x14ac:dyDescent="0.3">
      <c r="B7" s="106">
        <v>4</v>
      </c>
      <c r="C7" s="105" t="b">
        <f>'MC-TF - 20 Pts'!C32</f>
        <v>1</v>
      </c>
    </row>
    <row r="8" spans="2:3" ht="14.45" x14ac:dyDescent="0.3">
      <c r="B8" s="103">
        <v>5</v>
      </c>
      <c r="C8" s="105" t="b">
        <f>'MC-TF - 20 Pts'!C34</f>
        <v>0</v>
      </c>
    </row>
    <row r="9" spans="2:3" ht="14.45" x14ac:dyDescent="0.3">
      <c r="B9" s="103">
        <v>6</v>
      </c>
      <c r="C9" s="105" t="b">
        <f>'MC-TF - 20 Pts'!C37</f>
        <v>1</v>
      </c>
    </row>
    <row r="10" spans="2:3" ht="14.45" x14ac:dyDescent="0.3">
      <c r="B10" s="103">
        <v>7</v>
      </c>
      <c r="C10" s="99" t="b">
        <f>'MC-TF - 20 Pts'!C40</f>
        <v>0</v>
      </c>
    </row>
    <row r="11" spans="2:3" ht="14.45" x14ac:dyDescent="0.3">
      <c r="B11" s="103">
        <v>8</v>
      </c>
      <c r="C11" s="99" t="b">
        <f>'MC-TF - 20 Pts'!C43</f>
        <v>1</v>
      </c>
    </row>
    <row r="12" spans="2:3" ht="14.45" x14ac:dyDescent="0.3">
      <c r="B12" s="103">
        <v>9</v>
      </c>
      <c r="C12" s="99" t="b">
        <f>'MC-TF - 20 Pts'!C46</f>
        <v>0</v>
      </c>
    </row>
    <row r="13" spans="2:3" ht="14.45" x14ac:dyDescent="0.3">
      <c r="B13" s="103">
        <v>10</v>
      </c>
      <c r="C13" s="99" t="b">
        <f>'MC-TF - 20 Pts'!C48</f>
        <v>0</v>
      </c>
    </row>
    <row r="14" spans="2:3" x14ac:dyDescent="0.25">
      <c r="B14" s="103">
        <v>11</v>
      </c>
      <c r="C14" s="99" t="b">
        <f>'MC-TF - 20 Pts'!C50</f>
        <v>1</v>
      </c>
    </row>
    <row r="15" spans="2:3" x14ac:dyDescent="0.25">
      <c r="B15" s="103">
        <v>12</v>
      </c>
      <c r="C15" s="99" t="b">
        <f>'MC-TF - 20 Pts'!C52</f>
        <v>1</v>
      </c>
    </row>
    <row r="16" spans="2:3" x14ac:dyDescent="0.25">
      <c r="B16" s="103">
        <v>13</v>
      </c>
      <c r="C16" s="99" t="b">
        <f>'MC-TF - 20 Pts'!C55</f>
        <v>1</v>
      </c>
    </row>
    <row r="17" spans="2:3" x14ac:dyDescent="0.25">
      <c r="B17" s="103">
        <v>14</v>
      </c>
      <c r="C17" s="99" t="b">
        <f>'MC-TF - 20 Pts'!C58</f>
        <v>0</v>
      </c>
    </row>
    <row r="18" spans="2:3" ht="15.75" thickBot="1" x14ac:dyDescent="0.3">
      <c r="B18" s="104">
        <v>15</v>
      </c>
      <c r="C18" s="96" t="b">
        <f>'MC-TF - 20 Pts'!C61</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4 - 8 Pts</vt:lpstr>
      <vt:lpstr>Prob 5 - 12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2014-02-27T22:45:48Z</cp:lastPrinted>
  <dcterms:created xsi:type="dcterms:W3CDTF">2010-01-07T16:00:30Z</dcterms:created>
  <dcterms:modified xsi:type="dcterms:W3CDTF">2014-02-28T00:33:09Z</dcterms:modified>
</cp:coreProperties>
</file>