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Dropbox\Class\Summer 2014\Exam 1\"/>
    </mc:Choice>
  </mc:AlternateContent>
  <bookViews>
    <workbookView xWindow="2640" yWindow="645" windowWidth="20115" windowHeight="7935" tabRatio="887" firstSheet="1" activeTab="1"/>
  </bookViews>
  <sheets>
    <sheet name="INSTRUCTIONS" sheetId="8" r:id="rId1"/>
    <sheet name="Prob 1 - 25 Pts" sheetId="1" r:id="rId2"/>
    <sheet name="Prob 2 - 25 Pts " sheetId="6" r:id="rId3"/>
    <sheet name="Scenario Summary" sheetId="23" r:id="rId4"/>
    <sheet name="Prob 3 - 10 Pts" sheetId="7" r:id="rId5"/>
    <sheet name="Prob 4 - 10 - Pts" sheetId="21" r:id="rId6"/>
    <sheet name="Prob 5 - 10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'!$B$20:$N$55</definedName>
  </definedNames>
  <calcPr calcId="152511"/>
</workbook>
</file>

<file path=xl/calcChain.xml><?xml version="1.0" encoding="utf-8"?>
<calcChain xmlns="http://schemas.openxmlformats.org/spreadsheetml/2006/main">
  <c r="D44" i="1" l="1"/>
  <c r="F44" i="1"/>
  <c r="G44" i="1"/>
  <c r="D85" i="1"/>
  <c r="C18" i="19" l="1"/>
  <c r="C17" i="19"/>
  <c r="C16" i="19"/>
  <c r="C15" i="19"/>
  <c r="C14" i="19"/>
  <c r="C13" i="19"/>
  <c r="C12" i="19"/>
  <c r="C11" i="19"/>
  <c r="C10" i="19"/>
  <c r="C9" i="19"/>
  <c r="C8" i="19"/>
  <c r="C7" i="19"/>
  <c r="C6" i="19"/>
  <c r="C5" i="19"/>
  <c r="C4" i="19"/>
  <c r="D27" i="22" l="1"/>
  <c r="C27" i="22"/>
  <c r="E9" i="21"/>
  <c r="E10" i="21"/>
  <c r="E11" i="21"/>
  <c r="E12" i="21"/>
  <c r="E13" i="21"/>
  <c r="E14" i="21"/>
  <c r="E18" i="21"/>
  <c r="E19" i="21"/>
  <c r="E20" i="21"/>
  <c r="E8" i="21"/>
  <c r="D20" i="21"/>
  <c r="D19" i="21"/>
  <c r="D18" i="21"/>
  <c r="D17" i="21"/>
  <c r="E17" i="21" s="1"/>
  <c r="D16" i="21"/>
  <c r="E16" i="21" s="1"/>
  <c r="D15" i="21"/>
  <c r="E15" i="21" s="1"/>
  <c r="D14" i="21"/>
  <c r="D13" i="21"/>
  <c r="D12" i="21"/>
  <c r="D11" i="21"/>
  <c r="D10" i="21"/>
  <c r="D9" i="21"/>
  <c r="D8" i="21"/>
  <c r="D94" i="1"/>
  <c r="C26" i="21" l="1"/>
  <c r="C24" i="21"/>
  <c r="D91" i="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46" i="1"/>
  <c r="D77" i="1" s="1"/>
  <c r="E66" i="1"/>
  <c r="E67" i="1" s="1"/>
  <c r="E60" i="1"/>
  <c r="E62" i="1" s="1"/>
  <c r="E52" i="1"/>
  <c r="E49" i="1"/>
  <c r="G32" i="1"/>
  <c r="G30" i="1"/>
  <c r="G28" i="1"/>
  <c r="G27" i="1"/>
  <c r="G26" i="1"/>
  <c r="G24" i="1"/>
  <c r="G23" i="1"/>
  <c r="D30" i="1"/>
  <c r="D28" i="1"/>
  <c r="D27" i="1"/>
  <c r="D26" i="1"/>
  <c r="D23" i="1"/>
  <c r="E25" i="1"/>
  <c r="G25" i="1" s="1"/>
  <c r="G46" i="6" l="1"/>
  <c r="H46" i="6" s="1"/>
  <c r="I46" i="6" s="1"/>
  <c r="J46" i="6" s="1"/>
  <c r="H42" i="6"/>
  <c r="E54" i="1"/>
  <c r="G62" i="1"/>
  <c r="F26" i="1"/>
  <c r="F23" i="1"/>
  <c r="F27" i="1"/>
  <c r="E29" i="1"/>
  <c r="D24" i="1"/>
  <c r="F24" i="1" s="1"/>
  <c r="F30" i="1"/>
  <c r="D60" i="1"/>
  <c r="D62" i="1" s="1"/>
  <c r="D51" i="1"/>
  <c r="D52" i="1" s="1"/>
  <c r="D75" i="1"/>
  <c r="J38" i="6"/>
  <c r="J43" i="6" s="1"/>
  <c r="M43" i="6"/>
  <c r="F43" i="6"/>
  <c r="F44" i="6" s="1"/>
  <c r="F45" i="6" s="1"/>
  <c r="F48" i="6" s="1"/>
  <c r="F52" i="6" s="1"/>
  <c r="K6" i="7" s="1"/>
  <c r="N43" i="6"/>
  <c r="H38" i="6"/>
  <c r="H43" i="6" s="1"/>
  <c r="H44" i="6" s="1"/>
  <c r="H45" i="6" s="1"/>
  <c r="L43" i="6"/>
  <c r="G38" i="6"/>
  <c r="G43" i="6" s="1"/>
  <c r="G44" i="6" s="1"/>
  <c r="K43" i="6"/>
  <c r="I38" i="6"/>
  <c r="I43" i="6" s="1"/>
  <c r="F28" i="1"/>
  <c r="J42" i="6"/>
  <c r="I42" i="6"/>
  <c r="G45" i="6" l="1"/>
  <c r="G48" i="6" s="1"/>
  <c r="G52" i="6" s="1"/>
  <c r="L6" i="7" s="1"/>
  <c r="D25" i="1"/>
  <c r="F25" i="1" s="1"/>
  <c r="G66" i="1"/>
  <c r="G64" i="1"/>
  <c r="G60" i="1"/>
  <c r="G51" i="1"/>
  <c r="G65" i="1"/>
  <c r="G61" i="1"/>
  <c r="G57" i="1"/>
  <c r="G52" i="1"/>
  <c r="G48" i="1"/>
  <c r="G56" i="1"/>
  <c r="G47" i="1"/>
  <c r="G67" i="1"/>
  <c r="G63" i="1"/>
  <c r="G59" i="1"/>
  <c r="G50" i="1"/>
  <c r="G46" i="1"/>
  <c r="G58" i="1"/>
  <c r="G53" i="1"/>
  <c r="G45" i="1"/>
  <c r="E31" i="1"/>
  <c r="G29" i="1"/>
  <c r="G49" i="1"/>
  <c r="G54" i="1"/>
  <c r="F53" i="6"/>
  <c r="K7" i="7" s="1"/>
  <c r="J44" i="6"/>
  <c r="J45" i="6" s="1"/>
  <c r="I44" i="6"/>
  <c r="I45" i="6" s="1"/>
  <c r="K46" i="6"/>
  <c r="K42" i="6"/>
  <c r="K44" i="6" s="1"/>
  <c r="K45" i="6" s="1"/>
  <c r="D29" i="1" l="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s="1"/>
  <c r="D32" i="1" l="1"/>
  <c r="D33" i="1" s="1"/>
  <c r="F32" i="1"/>
  <c r="K48" i="6"/>
  <c r="J53" i="6"/>
  <c r="O7" i="7" s="1"/>
  <c r="J52" i="6"/>
  <c r="O6" i="7" s="1"/>
  <c r="N46" i="6"/>
  <c r="N42" i="6"/>
  <c r="N44" i="6" s="1"/>
  <c r="D65" i="1" l="1"/>
  <c r="D66" i="1" s="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N48" i="6"/>
  <c r="M53" i="6"/>
  <c r="R7" i="7" s="1"/>
  <c r="M52" i="6"/>
  <c r="R6" i="7" s="1"/>
  <c r="F49" i="1" l="1"/>
  <c r="N53" i="6"/>
  <c r="S7" i="7" s="1"/>
  <c r="N52" i="6"/>
  <c r="S6" i="7" s="1"/>
</calcChain>
</file>

<file path=xl/sharedStrings.xml><?xml version="1.0" encoding="utf-8"?>
<sst xmlns="http://schemas.openxmlformats.org/spreadsheetml/2006/main" count="286" uniqueCount="236">
  <si>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</si>
  <si>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</si>
  <si>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</si>
  <si>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</si>
  <si>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</si>
  <si>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</si>
  <si>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</si>
  <si>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</si>
  <si>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</si>
  <si>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</si>
  <si>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</si>
  <si>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</si>
  <si>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</si>
  <si>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</si>
  <si>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</si>
  <si>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</si>
  <si>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</si>
  <si>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</si>
  <si>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</si>
  <si>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</si>
  <si>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</si>
  <si>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</si>
  <si>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</si>
  <si>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</si>
  <si>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</si>
  <si>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</si>
  <si>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</si>
  <si>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</si>
  <si>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</si>
  <si>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</si>
  <si>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</si>
  <si>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</si>
  <si>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</si>
  <si>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</si>
  <si>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</si>
  <si>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</si>
  <si>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</si>
  <si>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</si>
  <si>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</si>
  <si>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</si>
  <si>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</si>
  <si>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</si>
  <si>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</si>
  <si>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</si>
  <si>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</si>
  <si>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</si>
  <si>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</si>
  <si>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</si>
  <si>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</si>
  <si>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</si>
  <si>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</si>
  <si>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</si>
  <si>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</si>
  <si>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</si>
  <si>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</si>
  <si>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</si>
  <si>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</si>
  <si>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</si>
  <si>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</si>
  <si>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</si>
  <si>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</si>
  <si>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</si>
  <si>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</si>
  <si>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</si>
  <si>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</si>
  <si>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</si>
  <si>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</si>
  <si>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</si>
  <si>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</si>
  <si>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</si>
  <si>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</si>
  <si>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</si>
  <si>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</si>
  <si>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</si>
  <si>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</si>
  <si>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</si>
  <si>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</si>
  <si>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</si>
  <si>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</si>
  <si>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</si>
  <si>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</si>
  <si>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</si>
  <si>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</si>
  <si>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</si>
  <si>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</si>
  <si>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</si>
  <si>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</si>
  <si>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</si>
  <si>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</si>
  <si>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</si>
  <si>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</si>
  <si>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</si>
  <si>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</si>
  <si>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</si>
  <si>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</si>
  <si>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</si>
  <si>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</si>
  <si>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</si>
  <si>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</si>
  <si>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</si>
  <si>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</si>
  <si>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</si>
  <si>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</si>
  <si>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</si>
  <si>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</si>
  <si>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</si>
  <si>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</si>
  <si>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</si>
  <si>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</si>
  <si>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</si>
  <si>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</si>
  <si>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</si>
  <si>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</si>
  <si>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</si>
  <si>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</si>
  <si>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</si>
  <si>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</si>
  <si>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</si>
  <si>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</si>
  <si>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</si>
  <si>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</si>
  <si>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</si>
  <si>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</si>
  <si>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</si>
  <si>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</si>
  <si>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</si>
  <si>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</si>
  <si>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</si>
  <si>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</si>
  <si>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</si>
  <si>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</si>
  <si>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</si>
  <si>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</si>
  <si>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</si>
  <si>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</si>
  <si>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</si>
  <si>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</si>
  <si>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</si>
  <si>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</si>
  <si>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</si>
  <si>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</si>
  <si>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</si>
  <si>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</si>
  <si>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</si>
  <si>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</si>
  <si>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</si>
  <si>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</si>
  <si>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</si>
  <si>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</si>
  <si>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</si>
  <si>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</si>
  <si>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</si>
  <si>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</si>
  <si>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</si>
  <si>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</si>
  <si>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</si>
  <si>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</si>
  <si>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</si>
  <si>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</si>
  <si>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</si>
  <si>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</si>
  <si>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</si>
  <si>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</si>
  <si>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</si>
  <si>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</si>
  <si>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</si>
  <si>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</si>
  <si>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</si>
  <si>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</si>
  <si>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</si>
  <si>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</si>
  <si>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</si>
  <si>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</si>
  <si>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C</t>
  </si>
  <si>
    <t>2012</t>
  </si>
  <si>
    <t>Elvis Products International</t>
  </si>
  <si>
    <t>Income Statement</t>
  </si>
  <si>
    <t>Cost of Goods Sold</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</si>
  <si>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</si>
  <si>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</si>
  <si>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</si>
  <si>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</si>
  <si>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</si>
  <si>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</si>
  <si>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</si>
  <si>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</si>
  <si>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</si>
  <si>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</si>
  <si>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</si>
  <si>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</si>
  <si>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</si>
  <si>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</si>
  <si>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</si>
  <si>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</si>
  <si>
    <t>Do not change anything on this page.</t>
  </si>
  <si>
    <t>Year</t>
  </si>
  <si>
    <t>Annual
Rate of
Return</t>
  </si>
  <si>
    <t>Price
Relative
Return</t>
  </si>
  <si>
    <t>Geometric Mean:</t>
  </si>
  <si>
    <t>using GEOMEAN function</t>
  </si>
  <si>
    <t>using direct calculation</t>
  </si>
  <si>
    <t>Stock
Price</t>
  </si>
  <si>
    <t>Net Profit Margin</t>
  </si>
  <si>
    <t xml:space="preserve">  4. Lotus 1-2-3 was the first spreadsheet program ever to be marketed for personal computers.</t>
  </si>
  <si>
    <t xml:space="preserve">      its total value during the year.</t>
  </si>
  <si>
    <t xml:space="preserve">          for future investments.</t>
  </si>
  <si>
    <r>
      <t>a.</t>
    </r>
    <r>
      <rPr>
        <sz val="7"/>
        <color theme="1"/>
        <rFont val="Times New Roman"/>
        <family val="1"/>
      </rPr>
      <t xml:space="preserve">      </t>
    </r>
    <r>
      <rPr>
        <sz val="11"/>
        <color theme="1"/>
        <rFont val="Calibri"/>
        <family val="2"/>
        <scheme val="minor"/>
      </rPr>
      <t>Shows the change in a firm's value over a period of time.</t>
    </r>
  </si>
  <si>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</si>
  <si>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</si>
  <si>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</si>
  <si>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</si>
  <si>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r>
      <t>d.</t>
    </r>
    <r>
      <rPr>
        <sz val="7"/>
        <color theme="1"/>
        <rFont val="Times New Roman"/>
        <family val="1"/>
      </rPr>
      <t xml:space="preserve">      </t>
    </r>
    <r>
      <rPr>
        <sz val="11"/>
        <color theme="1"/>
        <rFont val="Calibri"/>
        <family val="2"/>
        <scheme val="minor"/>
      </rPr>
      <t>Debt to equity ratio</t>
    </r>
  </si>
  <si>
    <t xml:space="preserve">  13. The “true” profit for a company in a year would be the increase in </t>
  </si>
  <si>
    <t xml:space="preserve"> 14. The retained earnings account on the balance sheet shows the company's cash reserve</t>
  </si>
  <si>
    <t xml:space="preserve"> 15. The GEOMEAN function computes the geometric mean of a series of numbers, </t>
  </si>
  <si>
    <t xml:space="preserve">          but it only works correctly if all of the numbers are positive.</t>
  </si>
  <si>
    <t>FY
2012</t>
  </si>
  <si>
    <t>Inputs for 2013</t>
  </si>
  <si>
    <r>
      <t xml:space="preserve">Note: 2013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</si>
  <si>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2012.</t>
  </si>
  <si>
    <t>2012-2013</t>
  </si>
  <si>
    <t>2013</t>
  </si>
  <si>
    <t>2012-13</t>
  </si>
  <si>
    <t>Complete the 2012 and 2013 Income Statements and Balance Sheets using</t>
  </si>
  <si>
    <t>Create the common size income statements and balance sheets for 2012 and 2013</t>
  </si>
  <si>
    <t>Created by Del on 9/22/2011
Modified by D Hawley on 9/22/2013
Modified by Del on 6/9/2014</t>
  </si>
  <si>
    <t>Created by Del on 9/22/2011
Modified by Del on 6/9/2012
Modified by D Hawley on 9/22/2013
Modified by Del on 6/9/2014</t>
  </si>
  <si>
    <t>For the Year Ended Dec. 31, 2013</t>
  </si>
  <si>
    <t>FY
2013</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</si>
  <si>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</si>
  <si>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balance sheet:</t>
    </r>
  </si>
  <si>
    <t>B</t>
  </si>
  <si>
    <r>
      <t>3.</t>
    </r>
    <r>
      <rPr>
        <sz val="7"/>
        <color theme="1"/>
        <rFont val="Times New Roman"/>
        <family val="1"/>
      </rPr>
      <t xml:space="preserve">       </t>
    </r>
    <r>
      <rPr>
        <sz val="11"/>
        <color theme="1"/>
        <rFont val="Calibri"/>
        <family val="2"/>
        <scheme val="minor"/>
      </rPr>
      <t>Which of the following can be found in the common size statements of a company?</t>
    </r>
  </si>
  <si>
    <r>
      <t>a.</t>
    </r>
    <r>
      <rPr>
        <sz val="7"/>
        <color theme="1"/>
        <rFont val="Times New Roman"/>
        <family val="1"/>
      </rPr>
      <t xml:space="preserve">       </t>
    </r>
    <r>
      <rPr>
        <sz val="11"/>
        <color theme="1"/>
        <rFont val="Calibri"/>
        <family val="2"/>
        <scheme val="minor"/>
      </rPr>
      <t>Interest expense as a percentage of total assets.</t>
    </r>
  </si>
  <si>
    <r>
      <t>b.</t>
    </r>
    <r>
      <rPr>
        <sz val="7"/>
        <color theme="1"/>
        <rFont val="Times New Roman"/>
        <family val="1"/>
      </rPr>
      <t xml:space="preserve">       </t>
    </r>
    <r>
      <rPr>
        <sz val="11"/>
        <color theme="1"/>
        <rFont val="Calibri"/>
        <family val="2"/>
        <scheme val="minor"/>
      </rPr>
      <t>Current Assets to Current Liabilities ratio</t>
    </r>
  </si>
  <si>
    <t xml:space="preserve">appropriately use the 2013 inputs. All computations should reflect any changes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</si>
</sst>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18"/>
      <color theme="0" tint="-4.9989318521683403E-2"/>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2">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9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0" fontId="0" fillId="0" borderId="0" xfId="0"/>
    <xf numFmtId="43" fontId="0" fillId="0" borderId="0" xfId="0" applyNumberFormat="1"/>
    <xf numFmtId="43" fontId="0" fillId="2" borderId="4" xfId="0" applyNumberFormat="1" applyFill="1" applyBorder="1"/>
    <xf numFmtId="164" fontId="2" fillId="0" borderId="0" xfId="3" applyNumberFormat="1" applyFont="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26" xfId="0" applyFont="1" applyBorder="1" applyAlignment="1">
      <alignment horizontal="center" vertic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0" borderId="25" xfId="0" applyFont="1" applyBorder="1" applyAlignment="1">
      <alignment horizontal="center" vertical="center"/>
    </xf>
    <xf numFmtId="0" fontId="3" fillId="9" borderId="24"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7" xfId="0" applyNumberFormat="1" applyBorder="1"/>
    <xf numFmtId="10" fontId="0" fillId="0" borderId="27" xfId="3" applyNumberFormat="1" applyFont="1" applyBorder="1"/>
    <xf numFmtId="168" fontId="0" fillId="0" borderId="23" xfId="1" applyNumberFormat="1" applyFont="1" applyBorder="1"/>
    <xf numFmtId="0" fontId="0" fillId="0" borderId="24" xfId="0" applyNumberFormat="1" applyBorder="1" applyAlignment="1">
      <alignment horizontal="center"/>
    </xf>
    <xf numFmtId="44" fontId="0" fillId="0" borderId="28" xfId="0" applyNumberFormat="1" applyBorder="1"/>
    <xf numFmtId="44" fontId="0" fillId="10" borderId="28" xfId="0" applyNumberFormat="1" applyFill="1" applyBorder="1"/>
    <xf numFmtId="44" fontId="19" fillId="11" borderId="29" xfId="0" applyNumberFormat="1" applyFont="1" applyFill="1" applyBorder="1" applyAlignment="1">
      <alignment horizontal="center" vertical="center"/>
    </xf>
    <xf numFmtId="44" fontId="19" fillId="11" borderId="30" xfId="0" applyNumberFormat="1" applyFont="1" applyFill="1" applyBorder="1" applyAlignment="1">
      <alignment horizontal="center" vertical="center" wrapText="1"/>
    </xf>
    <xf numFmtId="44" fontId="19" fillId="11" borderId="31"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0" fontId="4" fillId="0" borderId="2" xfId="0" applyFont="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21" fillId="5" borderId="14" xfId="0" applyFont="1" applyFill="1" applyBorder="1" applyAlignment="1">
      <alignment horizontal="left"/>
    </xf>
    <xf numFmtId="0" fontId="21" fillId="5" borderId="6" xfId="0" applyFont="1" applyFill="1" applyBorder="1" applyAlignment="1">
      <alignment horizontal="left"/>
    </xf>
    <xf numFmtId="0" fontId="22" fillId="6" borderId="0" xfId="0" applyFont="1" applyFill="1" applyBorder="1" applyAlignment="1">
      <alignment horizontal="left"/>
    </xf>
    <xf numFmtId="0" fontId="23" fillId="6" borderId="15" xfId="0" applyFont="1" applyFill="1" applyBorder="1" applyAlignment="1">
      <alignment horizontal="left"/>
    </xf>
    <xf numFmtId="0" fontId="22" fillId="6" borderId="1" xfId="0" applyFont="1" applyFill="1" applyBorder="1" applyAlignment="1">
      <alignment horizontal="left"/>
    </xf>
    <xf numFmtId="166" fontId="24" fillId="8" borderId="5" xfId="0" applyNumberFormat="1" applyFont="1" applyFill="1" applyBorder="1" applyAlignment="1">
      <alignment horizontal="center" vertical="center"/>
    </xf>
    <xf numFmtId="166" fontId="24" fillId="8" borderId="6" xfId="0" applyNumberFormat="1" applyFont="1" applyFill="1" applyBorder="1" applyAlignment="1">
      <alignment horizontal="center" vertical="center"/>
    </xf>
    <xf numFmtId="166" fontId="24" fillId="8" borderId="7" xfId="0" applyNumberFormat="1" applyFont="1" applyFill="1" applyBorder="1" applyAlignment="1">
      <alignment horizontal="center" vertical="center"/>
    </xf>
    <xf numFmtId="166" fontId="24" fillId="8" borderId="8" xfId="0" applyNumberFormat="1" applyFont="1" applyFill="1" applyBorder="1" applyAlignment="1">
      <alignment horizontal="center" vertical="center"/>
    </xf>
    <xf numFmtId="166" fontId="24" fillId="8" borderId="0" xfId="0" applyNumberFormat="1" applyFont="1" applyFill="1" applyBorder="1" applyAlignment="1">
      <alignment horizontal="center" vertical="center"/>
    </xf>
    <xf numFmtId="166" fontId="24" fillId="8" borderId="9" xfId="0" applyNumberFormat="1" applyFont="1" applyFill="1" applyBorder="1" applyAlignment="1">
      <alignment horizontal="center" vertical="center"/>
    </xf>
    <xf numFmtId="166" fontId="24" fillId="8" borderId="10" xfId="0" applyNumberFormat="1" applyFont="1" applyFill="1" applyBorder="1" applyAlignment="1">
      <alignment horizontal="center" vertical="center"/>
    </xf>
    <xf numFmtId="166" fontId="24" fillId="8" borderId="1" xfId="0" applyNumberFormat="1" applyFont="1" applyFill="1" applyBorder="1" applyAlignment="1">
      <alignment horizontal="center" vertical="center"/>
    </xf>
    <xf numFmtId="166" fontId="24" fillId="8" borderId="11" xfId="0" applyNumberFormat="1" applyFont="1" applyFill="1" applyBorder="1" applyAlignment="1">
      <alignment horizontal="center" vertical="center"/>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layout/>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-2962.5</c:v>
                </c:pt>
                <c:pt idx="1">
                  <c:v>0</c:v>
                </c:pt>
                <c:pt idx="2">
                  <c:v>0</c:v>
                </c:pt>
                <c:pt idx="3">
                  <c:v>-62810</c:v>
                </c:pt>
                <c:pt idx="4">
                  <c:v>-53897.5</c:v>
                </c:pt>
                <c:pt idx="5">
                  <c:v>-52697.5</c:v>
                </c:pt>
                <c:pt idx="6">
                  <c:v>-51305</c:v>
                </c:pt>
                <c:pt idx="7">
                  <c:v>-48402.5</c:v>
                </c:pt>
                <c:pt idx="8">
                  <c:v>-44941.25</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5465</c:v>
                </c:pt>
                <c:pt idx="2">
                  <c:v>14077.5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286992784"/>
        <c:axId val="-1286996592"/>
      </c:barChart>
      <c:catAx>
        <c:axId val="-1286992784"/>
        <c:scaling>
          <c:orientation val="minMax"/>
        </c:scaling>
        <c:delete val="0"/>
        <c:axPos val="b"/>
        <c:numFmt formatCode="General" sourceLinked="0"/>
        <c:majorTickMark val="none"/>
        <c:minorTickMark val="none"/>
        <c:tickLblPos val="nextTo"/>
        <c:txPr>
          <a:bodyPr/>
          <a:lstStyle/>
          <a:p>
            <a:pPr>
              <a:defRPr b="1"/>
            </a:pPr>
            <a:endParaRPr lang="en-US"/>
          </a:p>
        </c:txPr>
        <c:crossAx val="-1286996592"/>
        <c:crosses val="autoZero"/>
        <c:auto val="1"/>
        <c:lblAlgn val="ctr"/>
        <c:lblOffset val="100"/>
        <c:noMultiLvlLbl val="0"/>
      </c:catAx>
      <c:valAx>
        <c:axId val="-1286996592"/>
        <c:scaling>
          <c:orientation val="minMax"/>
          <c:max val="40000"/>
          <c:min val="-80000"/>
        </c:scaling>
        <c:delete val="0"/>
        <c:axPos val="l"/>
        <c:majorGridlines/>
        <c:numFmt formatCode="&quot;$&quot;#,##0" sourceLinked="0"/>
        <c:majorTickMark val="none"/>
        <c:minorTickMark val="none"/>
        <c:tickLblPos val="nextTo"/>
        <c:txPr>
          <a:bodyPr/>
          <a:lstStyle/>
          <a:p>
            <a:pPr>
              <a:defRPr b="1"/>
            </a:pPr>
            <a:endParaRPr lang="en-US"/>
          </a:p>
        </c:txPr>
        <c:crossAx val="-1286992784"/>
        <c:crosses val="autoZero"/>
        <c:crossBetween val="between"/>
        <c:majorUnit val="100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40%, Collect1 = 15%, and Collect2 = 45%, the NORMAL scenario will use the base case collection rates given here, and the BAD scenario will use Collect0 = 20%, Collect1 = 15%, and Collect2 = 65%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$40,000 and the minimum to -$80,000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137272</xdr:rowOff>
    </xdr:from>
    <xdr:to>
      <xdr:col>4</xdr:col>
      <xdr:colOff>304801</xdr:colOff>
      <xdr:row>5</xdr:row>
      <xdr:rowOff>122705</xdr:rowOff>
    </xdr:to>
    <xdr:sp macro="" textlink="">
      <xdr:nvSpPr>
        <xdr:cNvPr id="2" name="Rounded Rectangle 1"/>
        <xdr:cNvSpPr/>
      </xdr:nvSpPr>
      <xdr:spPr>
        <a:xfrm>
          <a:off x="285751" y="137272"/>
          <a:ext cx="5498726"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77316</xdr:colOff>
      <xdr:row>7</xdr:row>
      <xdr:rowOff>78441</xdr:rowOff>
    </xdr:from>
    <xdr:to>
      <xdr:col>8</xdr:col>
      <xdr:colOff>493058</xdr:colOff>
      <xdr:row>13</xdr:row>
      <xdr:rowOff>44824</xdr:rowOff>
    </xdr:to>
    <xdr:sp macro="" textlink="">
      <xdr:nvSpPr>
        <xdr:cNvPr id="5" name="Right Arrow 4"/>
        <xdr:cNvSpPr/>
      </xdr:nvSpPr>
      <xdr:spPr>
        <a:xfrm flipH="1">
          <a:off x="4985492" y="1826559"/>
          <a:ext cx="2836213" cy="149038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are  25 points high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25 characters</a:t>
          </a:r>
          <a:r>
            <a:rPr lang="en-US" sz="1100" baseline="0"/>
            <a:t> wide. Columns C and D are 18 characters wide.</a:t>
          </a:r>
        </a:p>
        <a:p>
          <a:pPr algn="l"/>
          <a:endParaRPr lang="en-US" sz="1100"/>
        </a:p>
      </xdr:txBody>
    </xdr:sp>
    <xdr:clientData/>
  </xdr:twoCellAnchor>
  <xdr:twoCellAnchor>
    <xdr:from>
      <xdr:col>4</xdr:col>
      <xdr:colOff>133348</xdr:colOff>
      <xdr:row>12</xdr:row>
      <xdr:rowOff>48745</xdr:rowOff>
    </xdr:from>
    <xdr:to>
      <xdr:col>8</xdr:col>
      <xdr:colOff>470646</xdr:colOff>
      <xdr:row>15</xdr:row>
      <xdr:rowOff>134470</xdr:rowOff>
    </xdr:to>
    <xdr:sp macro="" textlink="">
      <xdr:nvSpPr>
        <xdr:cNvPr id="8" name="Right Arrow 7"/>
        <xdr:cNvSpPr/>
      </xdr:nvSpPr>
      <xdr:spPr>
        <a:xfrm flipH="1">
          <a:off x="5041524" y="3007098"/>
          <a:ext cx="2757769" cy="1251137"/>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50 points high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30 pixels high with 14 pt. fonts</a:t>
          </a:r>
          <a:endParaRPr lang="en-US" sz="1100"/>
        </a:p>
      </xdr:txBody>
    </xdr:sp>
    <xdr:clientData/>
  </xdr:twoCellAnchor>
  <xdr:twoCellAnchor editAs="oneCell">
    <xdr:from>
      <xdr:col>9</xdr:col>
      <xdr:colOff>134471</xdr:colOff>
      <xdr:row>5</xdr:row>
      <xdr:rowOff>168088</xdr:rowOff>
    </xdr:from>
    <xdr:to>
      <xdr:col>22</xdr:col>
      <xdr:colOff>507067</xdr:colOff>
      <xdr:row>28</xdr:row>
      <xdr:rowOff>146237</xdr:rowOff>
    </xdr:to>
    <xdr:pic>
      <xdr:nvPicPr>
        <xdr:cNvPr id="1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7177" y="1535206"/>
          <a:ext cx="8239125" cy="5457825"/>
        </a:xfrm>
        <a:prstGeom prst="rect">
          <a:avLst/>
        </a:prstGeom>
        <a:solidFill>
          <a:schemeClr val="bg1"/>
        </a:solidFill>
        <a:ln w="88900" cap="sq" cmpd="thickThin">
          <a:solidFill>
            <a:srgbClr val="000000"/>
          </a:solidFill>
          <a:prstDash val="solid"/>
          <a:miter lim="800000"/>
        </a:ln>
        <a:effectLst>
          <a:innerShdw blurRad="76200">
            <a:srgbClr val="000000"/>
          </a:inn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9441" y="212912"/>
          <a:ext cx="7754471" cy="1792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zoomScale="145" zoomScaleNormal="145" workbookViewId="0">
      <selection activeCell="M17" sqref="M17"/>
    </sheetView>
  </sheetViews>
  <sheetFormatPr defaultRowHeight="15" x14ac:dyDescent="0.25"/>
  <cols>
    <col min="1" max="1" width="3.140625" customWidth="1"/>
    <col min="2" max="2" width="4.5703125" customWidth="1"/>
  </cols>
  <sheetData>
    <row r="2" spans="2:2" ht="18.600000000000001" x14ac:dyDescent="0.45">
      <c r="B2" s="53" t="s">
        <v>111</v>
      </c>
    </row>
    <row r="3" spans="2:2" ht="18.600000000000001" x14ac:dyDescent="0.45">
      <c r="B3" s="53" t="s">
        <v>112</v>
      </c>
    </row>
    <row r="4" spans="2:2" ht="18.600000000000001" x14ac:dyDescent="0.45">
      <c r="B4" s="53" t="s">
        <v>113</v>
      </c>
    </row>
    <row r="5" spans="2:2" ht="11.1" customHeight="1" x14ac:dyDescent="0.45">
      <c r="B5" s="53"/>
    </row>
    <row r="6" spans="2:2" ht="18.600000000000001" x14ac:dyDescent="0.45">
      <c r="B6" s="53" t="s">
        <v>114</v>
      </c>
    </row>
    <row r="7" spans="2:2" ht="18.600000000000001" x14ac:dyDescent="0.45">
      <c r="B7" s="53" t="s">
        <v>130</v>
      </c>
    </row>
    <row r="8" spans="2:2" ht="11.1" customHeight="1" x14ac:dyDescent="0.45">
      <c r="B8" s="53"/>
    </row>
    <row r="9" spans="2:2" s="52" customFormat="1" ht="18.600000000000001" x14ac:dyDescent="0.45">
      <c r="B9" s="53" t="s">
        <v>117</v>
      </c>
    </row>
    <row r="10" spans="2:2" s="52" customFormat="1" ht="18.600000000000001" x14ac:dyDescent="0.45">
      <c r="B10" s="53" t="s">
        <v>118</v>
      </c>
    </row>
    <row r="11" spans="2:2" s="52" customFormat="1" ht="18.600000000000001" x14ac:dyDescent="0.45">
      <c r="B11" s="53" t="s">
        <v>119</v>
      </c>
    </row>
    <row r="12" spans="2:2" ht="14.1" customHeight="1" x14ac:dyDescent="0.45">
      <c r="B12" s="53"/>
    </row>
    <row r="13" spans="2:2" ht="14.45" x14ac:dyDescent="0.35">
      <c r="B13" s="52" t="s">
        <v>131</v>
      </c>
    </row>
    <row r="14" spans="2:2" ht="8.4499999999999993" customHeight="1" x14ac:dyDescent="0.45">
      <c r="B14" s="53"/>
    </row>
    <row r="15" spans="2:2" ht="14.45" x14ac:dyDescent="0.35">
      <c r="B15" s="52" t="s">
        <v>115</v>
      </c>
    </row>
    <row r="16" spans="2:2" ht="6" customHeight="1" x14ac:dyDescent="0.25">
      <c r="B16" s="52"/>
    </row>
    <row r="17" spans="2:3" x14ac:dyDescent="0.25">
      <c r="B17" s="52" t="s">
        <v>116</v>
      </c>
    </row>
    <row r="18" spans="2:3" x14ac:dyDescent="0.25">
      <c r="B18" s="52"/>
    </row>
    <row r="19" spans="2:3" s="54" customFormat="1" x14ac:dyDescent="0.25">
      <c r="B19" s="54" t="s">
        <v>132</v>
      </c>
    </row>
    <row r="20" spans="2:3" s="54" customFormat="1" x14ac:dyDescent="0.25">
      <c r="B20" s="54" t="s">
        <v>178</v>
      </c>
    </row>
    <row r="21" spans="2:3" s="54" customFormat="1" x14ac:dyDescent="0.25">
      <c r="B21" s="54" t="s">
        <v>133</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134</v>
      </c>
    </row>
    <row r="28" spans="2:3" s="52" customFormat="1" ht="18.75" x14ac:dyDescent="0.3">
      <c r="C28" s="55"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abSelected="1" topLeftCell="C1" zoomScaleNormal="100" workbookViewId="0">
      <selection activeCell="N6" sqref="N6"/>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thickBot="1" x14ac:dyDescent="0.35">
      <c r="B1" s="1"/>
      <c r="C1" s="1"/>
      <c r="D1" s="1"/>
    </row>
    <row r="2" spans="2:12" s="3" customFormat="1" ht="24" customHeight="1" thickBot="1" x14ac:dyDescent="0.4">
      <c r="B2" s="171" t="s">
        <v>217</v>
      </c>
      <c r="C2" s="171"/>
      <c r="D2" s="171"/>
      <c r="I2" s="80"/>
      <c r="J2" s="81"/>
      <c r="K2" s="82"/>
      <c r="L2" s="83"/>
    </row>
    <row r="3" spans="2:12" s="3" customFormat="1" ht="18.75" customHeight="1" x14ac:dyDescent="0.25">
      <c r="B3" s="4" t="s">
        <v>0</v>
      </c>
      <c r="C3" s="4"/>
      <c r="D3" s="59">
        <v>0.35</v>
      </c>
      <c r="I3" s="84"/>
      <c r="J3" s="85" t="s">
        <v>65</v>
      </c>
      <c r="K3" s="86" t="s">
        <v>223</v>
      </c>
      <c r="L3" s="87"/>
    </row>
    <row r="4" spans="2:12" s="3" customFormat="1" x14ac:dyDescent="0.25">
      <c r="B4" s="4" t="s">
        <v>1</v>
      </c>
      <c r="C4" s="4"/>
      <c r="D4" s="179">
        <v>525000</v>
      </c>
      <c r="I4" s="84"/>
      <c r="J4" s="88"/>
      <c r="K4" s="86" t="s">
        <v>66</v>
      </c>
      <c r="L4" s="87"/>
    </row>
    <row r="5" spans="2:12" s="3" customFormat="1" x14ac:dyDescent="0.25">
      <c r="B5" s="4" t="s">
        <v>12</v>
      </c>
      <c r="C5" s="4"/>
      <c r="D5" s="180">
        <v>4350000</v>
      </c>
      <c r="I5" s="84"/>
      <c r="J5" s="88"/>
      <c r="K5" s="86" t="s">
        <v>235</v>
      </c>
      <c r="L5" s="87"/>
    </row>
    <row r="6" spans="2:12" s="3" customFormat="1" x14ac:dyDescent="0.25">
      <c r="B6" s="4" t="s">
        <v>2</v>
      </c>
      <c r="C6" s="4"/>
      <c r="D6" s="180">
        <v>850000</v>
      </c>
      <c r="I6" s="84"/>
      <c r="J6" s="88"/>
      <c r="K6" s="86" t="s">
        <v>68</v>
      </c>
      <c r="L6" s="87"/>
    </row>
    <row r="7" spans="2:12" s="57" customFormat="1" x14ac:dyDescent="0.25">
      <c r="B7" s="4" t="s">
        <v>4</v>
      </c>
      <c r="C7" s="4"/>
      <c r="D7" s="180">
        <v>82500</v>
      </c>
      <c r="I7" s="84"/>
      <c r="J7" s="86"/>
      <c r="K7" s="86"/>
      <c r="L7" s="87"/>
    </row>
    <row r="8" spans="2:12" s="57" customFormat="1" x14ac:dyDescent="0.25">
      <c r="B8" s="4" t="s">
        <v>5</v>
      </c>
      <c r="C8" s="4"/>
      <c r="D8" s="180">
        <v>120000</v>
      </c>
      <c r="I8" s="84"/>
      <c r="J8" s="85" t="s">
        <v>67</v>
      </c>
      <c r="K8" s="86" t="s">
        <v>224</v>
      </c>
      <c r="L8" s="87"/>
    </row>
    <row r="9" spans="2:12" s="3" customFormat="1" x14ac:dyDescent="0.25">
      <c r="B9" s="4" t="s">
        <v>3</v>
      </c>
      <c r="C9" s="4"/>
      <c r="D9" s="180">
        <v>120000</v>
      </c>
      <c r="I9" s="84"/>
      <c r="J9" s="88"/>
      <c r="K9" s="86" t="s">
        <v>69</v>
      </c>
      <c r="L9" s="87"/>
    </row>
    <row r="10" spans="2:12" s="3" customFormat="1" x14ac:dyDescent="0.25">
      <c r="B10" s="4" t="s">
        <v>7</v>
      </c>
      <c r="C10" s="4"/>
      <c r="D10" s="180">
        <v>1975000</v>
      </c>
      <c r="I10" s="84"/>
      <c r="J10" s="88"/>
      <c r="K10" s="86"/>
      <c r="L10" s="87"/>
    </row>
    <row r="11" spans="2:12" s="3" customFormat="1" x14ac:dyDescent="0.25">
      <c r="B11" s="4" t="s">
        <v>8</v>
      </c>
      <c r="C11" s="4"/>
      <c r="D11" s="180">
        <v>1300000</v>
      </c>
      <c r="I11" s="84"/>
      <c r="J11" s="85" t="s">
        <v>70</v>
      </c>
      <c r="K11" s="86" t="s">
        <v>71</v>
      </c>
      <c r="L11" s="87"/>
    </row>
    <row r="12" spans="2:12" s="3" customFormat="1" x14ac:dyDescent="0.25">
      <c r="B12" s="4" t="s">
        <v>9</v>
      </c>
      <c r="C12" s="4"/>
      <c r="D12" s="180">
        <v>610000</v>
      </c>
      <c r="I12" s="84"/>
      <c r="J12" s="88"/>
      <c r="K12" s="86" t="s">
        <v>72</v>
      </c>
      <c r="L12" s="87"/>
    </row>
    <row r="13" spans="2:12" s="3" customFormat="1" ht="15.75" thickBot="1" x14ac:dyDescent="0.3">
      <c r="B13" s="4" t="s">
        <v>6</v>
      </c>
      <c r="C13" s="4"/>
      <c r="D13" s="181">
        <v>1.25</v>
      </c>
      <c r="I13" s="89"/>
      <c r="J13" s="92"/>
      <c r="K13" s="91"/>
      <c r="L13" s="90"/>
    </row>
    <row r="14" spans="2:12" s="3" customFormat="1" ht="15.75" thickBot="1" x14ac:dyDescent="0.3">
      <c r="B14" s="6" t="s">
        <v>73</v>
      </c>
      <c r="C14" s="6"/>
      <c r="D14" s="182">
        <v>85000</v>
      </c>
      <c r="I14" s="50"/>
      <c r="J14" s="51"/>
      <c r="K14" s="50"/>
      <c r="L14" s="50"/>
    </row>
    <row r="15" spans="2:12" s="3" customFormat="1" ht="17.25" x14ac:dyDescent="0.4">
      <c r="B15" s="7" t="s">
        <v>218</v>
      </c>
      <c r="C15" s="7"/>
      <c r="D15" s="5"/>
      <c r="I15" s="50"/>
      <c r="J15" s="51"/>
      <c r="K15" s="50"/>
      <c r="L15" s="50"/>
    </row>
    <row r="16" spans="2:12" thickBot="1" x14ac:dyDescent="0.4">
      <c r="B16" s="8" t="s">
        <v>219</v>
      </c>
      <c r="C16" s="8"/>
      <c r="D16" s="1"/>
      <c r="I16" s="50"/>
      <c r="J16" s="51"/>
      <c r="K16" s="50"/>
      <c r="L16" s="50"/>
    </row>
    <row r="17" spans="2:12" thickBot="1" x14ac:dyDescent="0.4">
      <c r="B17" s="1"/>
      <c r="C17" s="1"/>
      <c r="D17" s="1"/>
      <c r="E17" s="1"/>
      <c r="F17" s="1"/>
      <c r="G17" s="1"/>
      <c r="I17" s="50"/>
      <c r="J17" s="51"/>
      <c r="K17" s="50"/>
      <c r="L17" s="50"/>
    </row>
    <row r="18" spans="2:12" ht="21" customHeight="1" x14ac:dyDescent="0.45">
      <c r="B18" s="172" t="s">
        <v>10</v>
      </c>
      <c r="C18" s="172"/>
      <c r="D18" s="172"/>
      <c r="E18" s="172"/>
      <c r="F18" s="172"/>
      <c r="G18" s="172"/>
      <c r="I18" s="50"/>
      <c r="J18" s="51"/>
      <c r="K18" s="50"/>
      <c r="L18" s="50"/>
    </row>
    <row r="19" spans="2:12" ht="21" customHeight="1" x14ac:dyDescent="0.45">
      <c r="B19" s="172" t="s">
        <v>220</v>
      </c>
      <c r="C19" s="172"/>
      <c r="D19" s="172"/>
      <c r="E19" s="172"/>
      <c r="F19" s="172"/>
      <c r="G19" s="172"/>
      <c r="I19" s="50"/>
      <c r="J19" s="51"/>
      <c r="K19" s="50"/>
      <c r="L19" s="50"/>
    </row>
    <row r="20" spans="2:12" ht="21" customHeight="1" thickBot="1" x14ac:dyDescent="0.35">
      <c r="B20" s="166" t="s">
        <v>11</v>
      </c>
      <c r="C20" s="166"/>
      <c r="D20" s="167"/>
      <c r="E20" s="167"/>
      <c r="F20" s="167"/>
      <c r="G20" s="167"/>
      <c r="I20" s="50"/>
      <c r="J20" s="51"/>
      <c r="K20" s="50"/>
      <c r="L20" s="50"/>
    </row>
    <row r="21" spans="2:12" ht="9" customHeight="1" x14ac:dyDescent="0.3">
      <c r="B21" s="9"/>
      <c r="C21" s="9"/>
      <c r="D21" s="9"/>
      <c r="E21" s="9"/>
      <c r="F21" s="9"/>
      <c r="G21" s="9"/>
      <c r="I21" s="50"/>
      <c r="J21" s="51"/>
      <c r="K21" s="50"/>
      <c r="L21" s="50"/>
    </row>
    <row r="22" spans="2:12" ht="17.25" x14ac:dyDescent="0.4">
      <c r="B22" s="3"/>
      <c r="C22" s="3"/>
      <c r="D22" s="165" t="s">
        <v>221</v>
      </c>
      <c r="E22" s="165" t="s">
        <v>174</v>
      </c>
      <c r="F22" s="165" t="s">
        <v>221</v>
      </c>
      <c r="G22" s="165" t="s">
        <v>174</v>
      </c>
      <c r="I22" s="50"/>
      <c r="J22" s="51"/>
      <c r="K22" s="50"/>
      <c r="L22" s="50"/>
    </row>
    <row r="23" spans="2:12" x14ac:dyDescent="0.25">
      <c r="B23" s="3" t="s">
        <v>12</v>
      </c>
      <c r="C23" s="3"/>
      <c r="D23" s="10">
        <f>D5/1000</f>
        <v>4350</v>
      </c>
      <c r="E23" s="10">
        <v>4125</v>
      </c>
      <c r="F23" s="11">
        <f>D23/D$23</f>
        <v>1</v>
      </c>
      <c r="G23" s="11">
        <f>E23/E$23</f>
        <v>1</v>
      </c>
      <c r="I23" s="50"/>
      <c r="J23" s="51"/>
      <c r="K23" s="50"/>
      <c r="L23" s="50"/>
    </row>
    <row r="24" spans="2:12" ht="17.25" x14ac:dyDescent="0.4">
      <c r="B24" s="12" t="s">
        <v>13</v>
      </c>
      <c r="C24" s="12"/>
      <c r="D24" s="12">
        <f>E24/E23*D23</f>
        <v>2478.181818181818</v>
      </c>
      <c r="E24" s="12">
        <v>2350</v>
      </c>
      <c r="F24" s="11">
        <f t="shared" ref="F24:G33" si="0">D24/D$23</f>
        <v>0.5696969696969697</v>
      </c>
      <c r="G24" s="11">
        <f t="shared" si="0"/>
        <v>0.5696969696969697</v>
      </c>
      <c r="H24" s="13"/>
      <c r="I24" s="50"/>
      <c r="J24" s="51"/>
      <c r="K24" s="50"/>
      <c r="L24" s="50"/>
    </row>
    <row r="25" spans="2:12" x14ac:dyDescent="0.25">
      <c r="B25" s="3" t="s">
        <v>14</v>
      </c>
      <c r="C25" s="3"/>
      <c r="D25" s="10">
        <f>D23-D24</f>
        <v>1871.818181818182</v>
      </c>
      <c r="E25" s="10">
        <f>E23-E24</f>
        <v>1775</v>
      </c>
      <c r="F25" s="11">
        <f t="shared" si="0"/>
        <v>0.43030303030303035</v>
      </c>
      <c r="G25" s="11">
        <f t="shared" si="0"/>
        <v>0.4303030303030303</v>
      </c>
    </row>
    <row r="26" spans="2:12" x14ac:dyDescent="0.25">
      <c r="B26" s="3" t="s">
        <v>2</v>
      </c>
      <c r="C26" s="3"/>
      <c r="D26" s="3">
        <f>D6/1000</f>
        <v>850</v>
      </c>
      <c r="E26" s="3">
        <v>746</v>
      </c>
      <c r="F26" s="11">
        <f t="shared" si="0"/>
        <v>0.19540229885057472</v>
      </c>
      <c r="G26" s="11">
        <f t="shared" si="0"/>
        <v>0.18084848484848484</v>
      </c>
    </row>
    <row r="27" spans="2:12" x14ac:dyDescent="0.25">
      <c r="B27" s="3" t="s">
        <v>3</v>
      </c>
      <c r="C27" s="3"/>
      <c r="D27" s="3">
        <f>D9/1000</f>
        <v>120</v>
      </c>
      <c r="E27" s="3">
        <v>100</v>
      </c>
      <c r="F27" s="11">
        <f t="shared" si="0"/>
        <v>2.7586206896551724E-2</v>
      </c>
      <c r="G27" s="11">
        <f t="shared" si="0"/>
        <v>2.4242424242424242E-2</v>
      </c>
    </row>
    <row r="28" spans="2:12" ht="17.25" x14ac:dyDescent="0.4">
      <c r="B28" s="12" t="s">
        <v>4</v>
      </c>
      <c r="C28" s="12"/>
      <c r="D28" s="29">
        <f>D7/1000</f>
        <v>82.5</v>
      </c>
      <c r="E28" s="12">
        <v>70</v>
      </c>
      <c r="F28" s="11">
        <f t="shared" si="0"/>
        <v>1.896551724137931E-2</v>
      </c>
      <c r="G28" s="11">
        <f t="shared" si="0"/>
        <v>1.6969696969696971E-2</v>
      </c>
    </row>
    <row r="29" spans="2:12" x14ac:dyDescent="0.25">
      <c r="B29" s="3" t="s">
        <v>15</v>
      </c>
      <c r="C29" s="3"/>
      <c r="D29" s="10">
        <f>D25-D26-D27-D28</f>
        <v>819.31818181818198</v>
      </c>
      <c r="E29" s="10">
        <f>E25-E26-E27-E28</f>
        <v>859</v>
      </c>
      <c r="F29" s="11">
        <f t="shared" si="0"/>
        <v>0.18834900731452459</v>
      </c>
      <c r="G29" s="11">
        <f t="shared" si="0"/>
        <v>0.20824242424242423</v>
      </c>
    </row>
    <row r="30" spans="2:12" ht="17.25" x14ac:dyDescent="0.4">
      <c r="B30" s="12" t="s">
        <v>5</v>
      </c>
      <c r="C30" s="12"/>
      <c r="D30" s="12">
        <f>D8/1000</f>
        <v>120</v>
      </c>
      <c r="E30" s="12">
        <v>110</v>
      </c>
      <c r="F30" s="11">
        <f t="shared" si="0"/>
        <v>2.7586206896551724E-2</v>
      </c>
      <c r="G30" s="11">
        <f t="shared" si="0"/>
        <v>2.6666666666666668E-2</v>
      </c>
    </row>
    <row r="31" spans="2:12" x14ac:dyDescent="0.25">
      <c r="B31" s="3" t="s">
        <v>16</v>
      </c>
      <c r="C31" s="3"/>
      <c r="D31" s="10">
        <f>D29-D30</f>
        <v>699.31818181818198</v>
      </c>
      <c r="E31" s="10">
        <f>E29-E30</f>
        <v>749</v>
      </c>
      <c r="F31" s="11">
        <f t="shared" si="0"/>
        <v>0.16076280041797286</v>
      </c>
      <c r="G31" s="11">
        <f t="shared" si="0"/>
        <v>0.18157575757575758</v>
      </c>
    </row>
    <row r="32" spans="2:12" ht="17.25" x14ac:dyDescent="0.4">
      <c r="B32" s="12" t="s">
        <v>17</v>
      </c>
      <c r="C32" s="12"/>
      <c r="D32" s="12">
        <f>D31*D3</f>
        <v>244.76136363636368</v>
      </c>
      <c r="E32" s="12">
        <v>248.4</v>
      </c>
      <c r="F32" s="11">
        <f t="shared" si="0"/>
        <v>5.6266980146290502E-2</v>
      </c>
      <c r="G32" s="11">
        <f t="shared" si="0"/>
        <v>6.0218181818181817E-2</v>
      </c>
    </row>
    <row r="33" spans="2:7" x14ac:dyDescent="0.25">
      <c r="B33" s="3" t="s">
        <v>18</v>
      </c>
      <c r="C33" s="3"/>
      <c r="D33" s="10">
        <f>D31-D32</f>
        <v>454.5568181818183</v>
      </c>
      <c r="E33" s="10">
        <f>E31-E32</f>
        <v>500.6</v>
      </c>
      <c r="F33" s="11">
        <f t="shared" si="0"/>
        <v>0.10449582027168237</v>
      </c>
      <c r="G33" s="11">
        <f t="shared" si="0"/>
        <v>0.12135757575757576</v>
      </c>
    </row>
    <row r="34" spans="2:7" ht="18" thickBot="1" x14ac:dyDescent="0.45">
      <c r="B34" s="29"/>
      <c r="C34" s="12"/>
      <c r="D34" s="12"/>
      <c r="E34" s="12"/>
      <c r="F34" s="11"/>
      <c r="G34" s="11"/>
    </row>
    <row r="35" spans="2:7" ht="15.75" thickBot="1" x14ac:dyDescent="0.3">
      <c r="B35" s="3" t="s">
        <v>19</v>
      </c>
      <c r="D35" s="28">
        <f>D33/D4*1000</f>
        <v>0.86582251082251105</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72" t="s">
        <v>20</v>
      </c>
      <c r="C39" s="172"/>
      <c r="D39" s="172"/>
      <c r="E39" s="172"/>
      <c r="F39" s="172"/>
      <c r="G39" s="172"/>
    </row>
    <row r="40" spans="2:7" ht="18.75" x14ac:dyDescent="0.3">
      <c r="B40" s="172" t="s">
        <v>222</v>
      </c>
      <c r="C40" s="172"/>
      <c r="D40" s="172"/>
      <c r="E40" s="172"/>
      <c r="F40" s="172"/>
      <c r="G40" s="172"/>
    </row>
    <row r="41" spans="2:7" ht="19.5" thickBot="1" x14ac:dyDescent="0.35">
      <c r="B41" s="166" t="s">
        <v>11</v>
      </c>
      <c r="C41" s="166"/>
      <c r="D41" s="167"/>
      <c r="E41" s="167"/>
      <c r="F41" s="167"/>
      <c r="G41" s="167"/>
    </row>
    <row r="42" spans="2:7" ht="18.75" x14ac:dyDescent="0.3">
      <c r="B42" s="14"/>
      <c r="C42" s="14"/>
      <c r="D42" s="9"/>
      <c r="E42" s="9"/>
      <c r="F42" s="9"/>
      <c r="G42" s="9"/>
    </row>
    <row r="43" spans="2:7" ht="17.25" x14ac:dyDescent="0.4">
      <c r="D43" s="165" t="s">
        <v>221</v>
      </c>
      <c r="E43" s="165" t="s">
        <v>174</v>
      </c>
      <c r="F43" s="165" t="s">
        <v>221</v>
      </c>
      <c r="G43" s="165" t="s">
        <v>174</v>
      </c>
    </row>
    <row r="44" spans="2:7" x14ac:dyDescent="0.25">
      <c r="B44" s="15" t="s">
        <v>21</v>
      </c>
      <c r="C44" s="3"/>
      <c r="D44" s="16">
        <f>D49-D48-D47-D46-D45</f>
        <v>3132.806818181818</v>
      </c>
      <c r="E44" s="16">
        <v>2850</v>
      </c>
      <c r="F44" s="11">
        <f>D44/D$67</f>
        <v>0.28564960113892218</v>
      </c>
      <c r="G44" s="11">
        <f>E44/E$67</f>
        <v>0.26932526932526935</v>
      </c>
    </row>
    <row r="45" spans="2:7" x14ac:dyDescent="0.25">
      <c r="B45" s="15" t="s">
        <v>22</v>
      </c>
      <c r="C45" s="3"/>
      <c r="D45" s="65">
        <v>75</v>
      </c>
      <c r="E45" s="3">
        <v>460</v>
      </c>
      <c r="F45" s="11">
        <f t="shared" ref="F45:G67" si="1">D45/D$67</f>
        <v>6.8385065944962459E-3</v>
      </c>
      <c r="G45" s="11">
        <f t="shared" si="1"/>
        <v>4.3470043470043469E-2</v>
      </c>
    </row>
    <row r="46" spans="2:7" x14ac:dyDescent="0.25">
      <c r="B46" s="15" t="s">
        <v>23</v>
      </c>
      <c r="C46" s="3"/>
      <c r="D46" s="3">
        <f>D10/1000</f>
        <v>1975</v>
      </c>
      <c r="E46" s="3">
        <v>1860</v>
      </c>
      <c r="F46" s="11">
        <f t="shared" si="1"/>
        <v>0.1800806736550678</v>
      </c>
      <c r="G46" s="11">
        <f t="shared" si="1"/>
        <v>0.17577017577017576</v>
      </c>
    </row>
    <row r="47" spans="2:7" x14ac:dyDescent="0.25">
      <c r="B47" s="15" t="s">
        <v>8</v>
      </c>
      <c r="C47" s="3"/>
      <c r="D47" s="57">
        <f>D11/1000</f>
        <v>1300</v>
      </c>
      <c r="E47" s="3">
        <v>1020</v>
      </c>
      <c r="F47" s="11">
        <f t="shared" si="1"/>
        <v>0.11853411430460159</v>
      </c>
      <c r="G47" s="11">
        <f t="shared" si="1"/>
        <v>9.6390096390096394E-2</v>
      </c>
    </row>
    <row r="48" spans="2:7" ht="17.25" x14ac:dyDescent="0.4">
      <c r="B48" s="17" t="s">
        <v>24</v>
      </c>
      <c r="C48" s="3"/>
      <c r="D48" s="66">
        <v>52</v>
      </c>
      <c r="E48" s="12">
        <v>37</v>
      </c>
      <c r="F48" s="11">
        <f t="shared" si="1"/>
        <v>4.7413645721840637E-3</v>
      </c>
      <c r="G48" s="11">
        <f t="shared" si="1"/>
        <v>3.4965034965034965E-3</v>
      </c>
    </row>
    <row r="49" spans="2:11" x14ac:dyDescent="0.25">
      <c r="B49" s="18" t="s">
        <v>25</v>
      </c>
      <c r="C49" s="18"/>
      <c r="D49" s="19">
        <f>D54-D53-D52</f>
        <v>6534.806818181818</v>
      </c>
      <c r="E49" s="19">
        <f>SUM(E44:E48)</f>
        <v>6227</v>
      </c>
      <c r="F49" s="11">
        <f t="shared" si="1"/>
        <v>0.59584426026527193</v>
      </c>
      <c r="G49" s="11">
        <f t="shared" si="1"/>
        <v>0.58845208845208841</v>
      </c>
    </row>
    <row r="50" spans="2:11" x14ac:dyDescent="0.25">
      <c r="B50" s="15" t="s">
        <v>26</v>
      </c>
      <c r="C50" s="3"/>
      <c r="D50" s="3">
        <f>E50+D14/1000</f>
        <v>5010</v>
      </c>
      <c r="E50" s="3">
        <v>4925</v>
      </c>
      <c r="F50" s="11">
        <f t="shared" si="1"/>
        <v>0.4568122405123492</v>
      </c>
      <c r="G50" s="11">
        <f t="shared" si="1"/>
        <v>0.4654129654129654</v>
      </c>
    </row>
    <row r="51" spans="2:11" ht="17.25" x14ac:dyDescent="0.4">
      <c r="B51" s="17" t="s">
        <v>27</v>
      </c>
      <c r="C51" s="3"/>
      <c r="D51" s="12">
        <f>E51+D28</f>
        <v>1002.5</v>
      </c>
      <c r="E51" s="12">
        <v>920</v>
      </c>
      <c r="F51" s="11">
        <f t="shared" si="1"/>
        <v>9.1408038146433154E-2</v>
      </c>
      <c r="G51" s="11">
        <f t="shared" si="1"/>
        <v>8.6940086940086939E-2</v>
      </c>
    </row>
    <row r="52" spans="2:11" x14ac:dyDescent="0.25">
      <c r="B52" s="18" t="s">
        <v>28</v>
      </c>
      <c r="C52" s="3"/>
      <c r="D52" s="19">
        <f>D50-D51</f>
        <v>4007.5</v>
      </c>
      <c r="E52" s="19">
        <f>E50-E51</f>
        <v>4005</v>
      </c>
      <c r="F52" s="11">
        <f t="shared" si="1"/>
        <v>0.36540420236591609</v>
      </c>
      <c r="G52" s="11">
        <f t="shared" si="1"/>
        <v>0.37847287847287847</v>
      </c>
    </row>
    <row r="53" spans="2:11" ht="17.25" x14ac:dyDescent="0.4">
      <c r="B53" s="20" t="s">
        <v>29</v>
      </c>
      <c r="C53" s="3"/>
      <c r="D53" s="66">
        <v>425</v>
      </c>
      <c r="E53" s="12">
        <v>350</v>
      </c>
      <c r="F53" s="11">
        <f t="shared" si="1"/>
        <v>3.875153736881206E-2</v>
      </c>
      <c r="G53" s="11">
        <f t="shared" si="1"/>
        <v>3.3075033075033074E-2</v>
      </c>
    </row>
    <row r="54" spans="2:11" x14ac:dyDescent="0.25">
      <c r="B54" s="21" t="s">
        <v>30</v>
      </c>
      <c r="C54" s="21"/>
      <c r="D54" s="22">
        <f>D67</f>
        <v>10967.306818181818</v>
      </c>
      <c r="E54" s="22">
        <f>E53+E52+E49</f>
        <v>10582</v>
      </c>
      <c r="F54" s="11">
        <f t="shared" si="1"/>
        <v>1</v>
      </c>
      <c r="G54" s="11">
        <f t="shared" si="1"/>
        <v>1</v>
      </c>
    </row>
    <row r="55" spans="2:11" x14ac:dyDescent="0.25">
      <c r="B55" s="3"/>
      <c r="C55" s="3"/>
      <c r="D55" s="3"/>
      <c r="E55" s="3"/>
      <c r="F55" s="11"/>
      <c r="G55" s="11"/>
    </row>
    <row r="56" spans="2:11" x14ac:dyDescent="0.25">
      <c r="B56" s="15" t="s">
        <v>31</v>
      </c>
      <c r="C56" s="3"/>
      <c r="D56" s="16">
        <f>D12/1000</f>
        <v>610</v>
      </c>
      <c r="E56" s="16">
        <v>650</v>
      </c>
      <c r="F56" s="11">
        <f t="shared" si="1"/>
        <v>5.5619853635236131E-2</v>
      </c>
      <c r="G56" s="11">
        <f t="shared" si="1"/>
        <v>6.1425061425061427E-2</v>
      </c>
    </row>
    <row r="57" spans="2:11" x14ac:dyDescent="0.25">
      <c r="B57" s="15" t="s">
        <v>32</v>
      </c>
      <c r="C57" s="3"/>
      <c r="D57" s="65">
        <v>36</v>
      </c>
      <c r="E57" s="3">
        <v>25</v>
      </c>
      <c r="F57" s="11">
        <f t="shared" si="1"/>
        <v>3.2824831653581977E-3</v>
      </c>
      <c r="G57" s="11">
        <f t="shared" si="1"/>
        <v>2.3625023625023626E-3</v>
      </c>
    </row>
    <row r="58" spans="2:11" x14ac:dyDescent="0.25">
      <c r="B58" s="15" t="s">
        <v>33</v>
      </c>
      <c r="C58" s="3"/>
      <c r="D58" s="65">
        <v>86</v>
      </c>
      <c r="E58" s="3">
        <v>75</v>
      </c>
      <c r="F58" s="11">
        <f t="shared" si="1"/>
        <v>7.841487561689028E-3</v>
      </c>
      <c r="G58" s="11">
        <f t="shared" si="1"/>
        <v>7.0875070875070873E-3</v>
      </c>
    </row>
    <row r="59" spans="2:11" ht="17.25" x14ac:dyDescent="0.4">
      <c r="B59" s="17" t="s">
        <v>34</v>
      </c>
      <c r="C59" s="3"/>
      <c r="D59" s="66">
        <v>450</v>
      </c>
      <c r="E59" s="12">
        <v>320</v>
      </c>
      <c r="F59" s="11">
        <f t="shared" si="1"/>
        <v>4.1031039566977477E-2</v>
      </c>
      <c r="G59" s="11">
        <f t="shared" si="1"/>
        <v>3.024003024003024E-2</v>
      </c>
    </row>
    <row r="60" spans="2:11" x14ac:dyDescent="0.25">
      <c r="B60" s="18" t="s">
        <v>35</v>
      </c>
      <c r="C60" s="3"/>
      <c r="D60" s="19">
        <f>SUM(D56:D59)</f>
        <v>1182</v>
      </c>
      <c r="E60" s="19">
        <f>SUM(E56:E59)</f>
        <v>1070</v>
      </c>
      <c r="F60" s="11">
        <f t="shared" si="1"/>
        <v>0.10777486392926083</v>
      </c>
      <c r="G60" s="11">
        <f t="shared" si="1"/>
        <v>0.10111510111510112</v>
      </c>
    </row>
    <row r="61" spans="2:11" ht="17.25" x14ac:dyDescent="0.4">
      <c r="B61" s="17" t="s">
        <v>36</v>
      </c>
      <c r="C61" s="3"/>
      <c r="D61" s="66">
        <v>4100</v>
      </c>
      <c r="E61" s="12">
        <v>3625</v>
      </c>
      <c r="F61" s="11">
        <f t="shared" si="1"/>
        <v>0.37383836049912811</v>
      </c>
      <c r="G61" s="11">
        <f t="shared" si="1"/>
        <v>0.34256284256284258</v>
      </c>
    </row>
    <row r="62" spans="2:11" x14ac:dyDescent="0.25">
      <c r="B62" s="18" t="s">
        <v>37</v>
      </c>
      <c r="C62" s="3"/>
      <c r="D62" s="19">
        <f>D60+D61</f>
        <v>5282</v>
      </c>
      <c r="E62" s="19">
        <f>E60+E61</f>
        <v>4695</v>
      </c>
      <c r="F62" s="11">
        <f t="shared" si="1"/>
        <v>0.48161322442838894</v>
      </c>
      <c r="G62" s="11">
        <f t="shared" si="1"/>
        <v>0.44367794367794366</v>
      </c>
    </row>
    <row r="63" spans="2:11" x14ac:dyDescent="0.25">
      <c r="B63" s="15" t="s">
        <v>38</v>
      </c>
      <c r="C63" s="3"/>
      <c r="D63" s="65">
        <v>4119</v>
      </c>
      <c r="E63" s="3">
        <v>4119</v>
      </c>
      <c r="F63" s="11">
        <f t="shared" si="1"/>
        <v>0.37557078216973383</v>
      </c>
      <c r="G63" s="11">
        <f t="shared" si="1"/>
        <v>0.38924588924588926</v>
      </c>
      <c r="K63">
        <f>6277-6158</f>
        <v>119</v>
      </c>
    </row>
    <row r="64" spans="2:11" x14ac:dyDescent="0.25">
      <c r="B64" s="15" t="s">
        <v>39</v>
      </c>
      <c r="C64" s="3"/>
      <c r="D64" s="65">
        <v>342</v>
      </c>
      <c r="E64" s="3">
        <v>342</v>
      </c>
      <c r="F64" s="11">
        <f t="shared" si="1"/>
        <v>3.1183590070902881E-2</v>
      </c>
      <c r="G64" s="11">
        <f t="shared" si="1"/>
        <v>3.2319032319032319E-2</v>
      </c>
    </row>
    <row r="65" spans="2:7" ht="17.25" x14ac:dyDescent="0.4">
      <c r="B65" s="17" t="s">
        <v>40</v>
      </c>
      <c r="C65" s="3"/>
      <c r="D65" s="12">
        <f>D33-(D13*D4/1000)+E65</f>
        <v>1224.3068181818182</v>
      </c>
      <c r="E65" s="12">
        <v>1426</v>
      </c>
      <c r="F65" s="11">
        <f t="shared" si="1"/>
        <v>0.11163240333097441</v>
      </c>
      <c r="G65" s="11">
        <f t="shared" si="1"/>
        <v>0.13475713475713474</v>
      </c>
    </row>
    <row r="66" spans="2:7" ht="17.25" x14ac:dyDescent="0.4">
      <c r="B66" s="23" t="s">
        <v>41</v>
      </c>
      <c r="C66" s="3"/>
      <c r="D66" s="24">
        <f>D63+D64+D65</f>
        <v>5685.306818181818</v>
      </c>
      <c r="E66" s="24">
        <f>E63+E64+E65</f>
        <v>5887</v>
      </c>
      <c r="F66" s="11">
        <f t="shared" si="1"/>
        <v>0.51838677557161106</v>
      </c>
      <c r="G66" s="11">
        <f t="shared" si="1"/>
        <v>0.55632205632205634</v>
      </c>
    </row>
    <row r="67" spans="2:7" x14ac:dyDescent="0.25">
      <c r="B67" s="21" t="s">
        <v>42</v>
      </c>
      <c r="C67" s="21"/>
      <c r="D67" s="22">
        <f>D66+D62</f>
        <v>10967.306818181818</v>
      </c>
      <c r="E67" s="22">
        <f>E66+E62</f>
        <v>10582</v>
      </c>
      <c r="F67" s="11">
        <f t="shared" si="1"/>
        <v>1</v>
      </c>
      <c r="G67" s="11">
        <f t="shared" si="1"/>
        <v>1</v>
      </c>
    </row>
    <row r="68" spans="2:7" ht="15.75" thickBot="1" x14ac:dyDescent="0.3">
      <c r="B68" s="25"/>
      <c r="C68" s="25"/>
      <c r="D68" s="26"/>
      <c r="E68" s="26"/>
    </row>
    <row r="69" spans="2:7" ht="18.75" x14ac:dyDescent="0.3">
      <c r="B69" s="168" t="s">
        <v>43</v>
      </c>
      <c r="C69" s="168"/>
      <c r="D69" s="168"/>
      <c r="E69" s="168"/>
    </row>
    <row r="70" spans="2:7" ht="19.5" thickBot="1" x14ac:dyDescent="0.35">
      <c r="B70" s="169" t="s">
        <v>11</v>
      </c>
      <c r="C70" s="169"/>
      <c r="D70" s="169"/>
      <c r="E70" s="169"/>
    </row>
    <row r="72" spans="2:7" ht="17.25" x14ac:dyDescent="0.4">
      <c r="D72" s="170" t="s">
        <v>221</v>
      </c>
      <c r="E72" s="170"/>
    </row>
    <row r="73" spans="2:7" ht="15.75" x14ac:dyDescent="0.25">
      <c r="B73" s="27" t="s">
        <v>44</v>
      </c>
      <c r="C73" s="3"/>
      <c r="D73" s="3"/>
    </row>
    <row r="74" spans="2:7" x14ac:dyDescent="0.25">
      <c r="B74" s="15" t="s">
        <v>45</v>
      </c>
      <c r="C74" s="3"/>
      <c r="D74" s="3"/>
    </row>
    <row r="75" spans="2:7" x14ac:dyDescent="0.25">
      <c r="B75" s="15" t="s">
        <v>46</v>
      </c>
      <c r="C75" s="3"/>
      <c r="D75" s="58">
        <f>D28</f>
        <v>82.5</v>
      </c>
    </row>
    <row r="76" spans="2:7" x14ac:dyDescent="0.25">
      <c r="B76" s="15" t="s">
        <v>47</v>
      </c>
      <c r="C76" s="3"/>
    </row>
    <row r="77" spans="2:7" x14ac:dyDescent="0.25">
      <c r="B77" s="15" t="s">
        <v>48</v>
      </c>
      <c r="C77" s="3"/>
      <c r="D77" s="58">
        <f>E46-D46</f>
        <v>-115</v>
      </c>
    </row>
    <row r="78" spans="2:7" x14ac:dyDescent="0.25">
      <c r="B78" s="15" t="s">
        <v>49</v>
      </c>
      <c r="C78" s="3"/>
      <c r="D78" s="101"/>
    </row>
    <row r="79" spans="2:7" x14ac:dyDescent="0.25">
      <c r="B79" s="15" t="s">
        <v>50</v>
      </c>
      <c r="C79" s="3"/>
      <c r="D79" s="101"/>
    </row>
    <row r="80" spans="2:7" x14ac:dyDescent="0.25">
      <c r="B80" s="15" t="s">
        <v>51</v>
      </c>
      <c r="C80" s="3"/>
      <c r="D80" s="58">
        <f>D56-E56</f>
        <v>-40</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58">
        <f>E50-D50</f>
        <v>-85</v>
      </c>
    </row>
    <row r="86" spans="2:4" ht="17.25" x14ac:dyDescent="0.4">
      <c r="B86" s="17" t="s">
        <v>56</v>
      </c>
      <c r="C86" s="3"/>
      <c r="D86" s="56"/>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c r="D90" s="64"/>
    </row>
    <row r="91" spans="2:4" x14ac:dyDescent="0.25">
      <c r="B91" s="15" t="s">
        <v>59</v>
      </c>
      <c r="C91" s="3"/>
      <c r="D91" s="58">
        <f>D61-E61</f>
        <v>475</v>
      </c>
    </row>
    <row r="92" spans="2:4" x14ac:dyDescent="0.25">
      <c r="B92" s="15" t="s">
        <v>60</v>
      </c>
      <c r="C92" s="3"/>
    </row>
    <row r="93" spans="2:4" x14ac:dyDescent="0.25">
      <c r="B93" s="15" t="s">
        <v>61</v>
      </c>
      <c r="C93" s="3"/>
      <c r="D93" s="18"/>
    </row>
    <row r="94" spans="2:4" ht="17.25" x14ac:dyDescent="0.4">
      <c r="B94" s="17" t="s">
        <v>62</v>
      </c>
      <c r="C94" s="3"/>
      <c r="D94" s="58">
        <f>-D13*D4/1000</f>
        <v>-656.25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topLeftCell="A10" zoomScaleNormal="100" workbookViewId="0">
      <selection activeCell="O15" sqref="O15"/>
    </sheetView>
  </sheetViews>
  <sheetFormatPr defaultRowHeight="15" x14ac:dyDescent="0.25"/>
  <cols>
    <col min="2" max="2" width="33.42578125" customWidth="1"/>
    <col min="5" max="14" width="9.85546875" customWidth="1"/>
  </cols>
  <sheetData>
    <row r="19" spans="2:20" thickBot="1" x14ac:dyDescent="0.4">
      <c r="B19" s="30"/>
      <c r="C19" s="30"/>
      <c r="D19" s="30"/>
      <c r="E19" s="30"/>
      <c r="F19" s="30"/>
      <c r="G19" s="30"/>
      <c r="H19" s="30"/>
      <c r="I19" s="30"/>
      <c r="J19" s="30"/>
      <c r="K19" s="30"/>
      <c r="L19" s="30"/>
      <c r="M19" s="30"/>
      <c r="N19" s="30"/>
    </row>
    <row r="20" spans="2:20" ht="22.5" customHeight="1" thickBot="1" x14ac:dyDescent="0.4">
      <c r="B20" s="173" t="s">
        <v>93</v>
      </c>
      <c r="C20" s="174"/>
      <c r="D20" s="174"/>
      <c r="E20" s="174"/>
      <c r="F20" s="174"/>
      <c r="G20" s="174"/>
      <c r="H20" s="174"/>
      <c r="I20" s="174"/>
      <c r="J20" s="174"/>
      <c r="K20" s="174"/>
      <c r="L20" s="174"/>
      <c r="M20" s="174"/>
      <c r="N20" s="175"/>
    </row>
    <row r="21" spans="2:20" thickBot="1" x14ac:dyDescent="0.4">
      <c r="B21" s="30"/>
      <c r="C21" s="30"/>
      <c r="D21" s="30"/>
      <c r="E21" s="30"/>
      <c r="F21" s="30"/>
      <c r="G21" s="30"/>
      <c r="H21" s="30"/>
      <c r="I21" s="30"/>
      <c r="J21" s="30"/>
      <c r="K21" s="30"/>
      <c r="L21" s="30"/>
      <c r="M21" s="30"/>
      <c r="N21" s="30"/>
    </row>
    <row r="22" spans="2:20" ht="15.75" thickBot="1" x14ac:dyDescent="0.3">
      <c r="B22" s="46" t="s">
        <v>99</v>
      </c>
      <c r="C22" s="31"/>
      <c r="D22" s="30"/>
      <c r="E22" s="30"/>
      <c r="F22" s="44">
        <v>0.25</v>
      </c>
      <c r="G22" s="30"/>
      <c r="H22" s="33" t="s">
        <v>100</v>
      </c>
      <c r="I22" s="30"/>
      <c r="J22" s="30"/>
      <c r="K22" s="30"/>
      <c r="L22" s="43">
        <v>85000</v>
      </c>
      <c r="M22" s="30"/>
      <c r="N22" s="30"/>
    </row>
    <row r="23" spans="2:20" ht="15.75" thickBot="1" x14ac:dyDescent="0.3">
      <c r="B23" s="46" t="s">
        <v>101</v>
      </c>
      <c r="C23" s="31"/>
      <c r="D23" s="30"/>
      <c r="E23" s="30"/>
      <c r="F23" s="44">
        <v>0.15</v>
      </c>
      <c r="G23" s="30"/>
      <c r="H23" s="30"/>
      <c r="I23" s="30"/>
      <c r="J23" s="30"/>
      <c r="K23" s="30"/>
      <c r="L23" s="30"/>
      <c r="M23" s="30"/>
      <c r="N23" s="30"/>
      <c r="T23" t="s">
        <v>78</v>
      </c>
    </row>
    <row r="24" spans="2:20" ht="15.75" thickBot="1" x14ac:dyDescent="0.3">
      <c r="B24" s="46" t="s">
        <v>102</v>
      </c>
      <c r="C24" s="31"/>
      <c r="D24" s="30"/>
      <c r="E24" s="30"/>
      <c r="F24" s="44">
        <v>0.6</v>
      </c>
      <c r="G24" s="30"/>
      <c r="H24" s="33" t="s">
        <v>103</v>
      </c>
      <c r="I24" s="30"/>
      <c r="J24" s="30"/>
      <c r="K24" s="30"/>
      <c r="L24" s="38" t="s">
        <v>137</v>
      </c>
      <c r="M24" s="30"/>
      <c r="N24" s="30"/>
      <c r="T24" t="s">
        <v>136</v>
      </c>
    </row>
    <row r="25" spans="2:20" ht="15.75" thickBot="1" x14ac:dyDescent="0.3">
      <c r="B25" s="36"/>
      <c r="C25" s="31"/>
      <c r="D25" s="30"/>
      <c r="E25" s="30"/>
      <c r="F25" s="101"/>
      <c r="G25" s="30"/>
      <c r="H25" s="30"/>
      <c r="I25" s="30"/>
      <c r="J25" s="30"/>
      <c r="K25" s="30"/>
      <c r="L25" s="30"/>
      <c r="M25" s="30"/>
      <c r="N25" s="30"/>
      <c r="T25" t="s">
        <v>137</v>
      </c>
    </row>
    <row r="26" spans="2:20" ht="15.75" thickBot="1" x14ac:dyDescent="0.3">
      <c r="B26" s="33" t="s">
        <v>104</v>
      </c>
      <c r="C26" s="31"/>
      <c r="D26" s="30"/>
      <c r="E26" s="30"/>
      <c r="F26" s="44">
        <v>0.2</v>
      </c>
      <c r="G26" s="30"/>
      <c r="H26" s="46" t="s">
        <v>94</v>
      </c>
      <c r="I26" s="30"/>
      <c r="J26" s="30"/>
      <c r="K26" s="30"/>
      <c r="L26" s="43">
        <v>25000</v>
      </c>
      <c r="M26" s="30"/>
      <c r="N26" s="30"/>
      <c r="T26" t="s">
        <v>138</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61">
        <v>13500</v>
      </c>
      <c r="D29" s="61">
        <v>12650</v>
      </c>
      <c r="E29" s="61">
        <v>13650</v>
      </c>
      <c r="F29" s="60">
        <v>13500</v>
      </c>
      <c r="G29" s="60">
        <v>14250</v>
      </c>
      <c r="H29" s="60">
        <v>17500</v>
      </c>
      <c r="I29" s="60">
        <v>4250</v>
      </c>
      <c r="J29" s="60">
        <v>5500</v>
      </c>
      <c r="K29" s="60">
        <v>6500</v>
      </c>
      <c r="L29" s="60">
        <v>7850</v>
      </c>
      <c r="M29" s="60">
        <v>6500</v>
      </c>
      <c r="N29" s="60">
        <v>5525</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13012.5</v>
      </c>
      <c r="G31" s="48">
        <f t="shared" si="0"/>
        <v>13777.5</v>
      </c>
      <c r="H31" s="48">
        <f t="shared" si="0"/>
        <v>14612.5</v>
      </c>
      <c r="I31" s="48">
        <f t="shared" si="0"/>
        <v>12237.5</v>
      </c>
      <c r="J31" s="48">
        <f t="shared" si="0"/>
        <v>12512.5</v>
      </c>
      <c r="K31" s="48">
        <f t="shared" si="0"/>
        <v>5000</v>
      </c>
      <c r="L31" s="48">
        <f t="shared" si="0"/>
        <v>6237.5</v>
      </c>
      <c r="M31" s="48">
        <f t="shared" si="0"/>
        <v>6702.5</v>
      </c>
      <c r="N31" s="48">
        <f t="shared" si="0"/>
        <v>7066.25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2700</v>
      </c>
      <c r="G33" s="48">
        <f t="shared" ref="G33:N33" si="1">G29*$F$26</f>
        <v>2850</v>
      </c>
      <c r="H33" s="48">
        <f t="shared" si="1"/>
        <v>3500</v>
      </c>
      <c r="I33" s="48">
        <f t="shared" si="1"/>
        <v>850</v>
      </c>
      <c r="J33" s="48">
        <f t="shared" si="1"/>
        <v>1100</v>
      </c>
      <c r="K33" s="48">
        <f t="shared" si="1"/>
        <v>1300</v>
      </c>
      <c r="L33" s="48">
        <f t="shared" si="1"/>
        <v>1570</v>
      </c>
      <c r="M33" s="48">
        <f t="shared" si="1"/>
        <v>1300</v>
      </c>
      <c r="N33" s="48">
        <f t="shared" si="1"/>
        <v>1105</v>
      </c>
      <c r="O33" s="30"/>
    </row>
    <row r="34" spans="2:15" x14ac:dyDescent="0.25">
      <c r="B34" s="36" t="s">
        <v>3</v>
      </c>
      <c r="C34" s="31"/>
      <c r="D34" s="31"/>
      <c r="E34" s="31"/>
      <c r="F34" s="45">
        <v>2500</v>
      </c>
      <c r="G34" s="61">
        <v>2500</v>
      </c>
      <c r="H34" s="61">
        <v>2500</v>
      </c>
      <c r="I34" s="61">
        <v>2500</v>
      </c>
      <c r="J34" s="61">
        <v>2500</v>
      </c>
      <c r="K34" s="61">
        <v>2500</v>
      </c>
      <c r="L34" s="61">
        <v>2500</v>
      </c>
      <c r="M34" s="61">
        <v>2500</v>
      </c>
      <c r="N34" s="45">
        <v>2500</v>
      </c>
      <c r="O34" s="30"/>
    </row>
    <row r="35" spans="2:15" x14ac:dyDescent="0.25">
      <c r="B35" s="36" t="s">
        <v>96</v>
      </c>
      <c r="C35" s="31"/>
      <c r="D35" s="31"/>
      <c r="E35" s="31"/>
      <c r="F35" s="45">
        <v>650</v>
      </c>
      <c r="G35" s="45">
        <v>0</v>
      </c>
      <c r="H35" s="45">
        <v>0</v>
      </c>
      <c r="I35" s="45">
        <v>650</v>
      </c>
      <c r="J35" s="45">
        <v>0</v>
      </c>
      <c r="K35" s="45">
        <v>0</v>
      </c>
      <c r="L35" s="45">
        <v>650</v>
      </c>
      <c r="M35" s="45">
        <v>0</v>
      </c>
      <c r="N35" s="45">
        <v>0</v>
      </c>
      <c r="O35" s="30"/>
    </row>
    <row r="36" spans="2:15" x14ac:dyDescent="0.25">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97</v>
      </c>
      <c r="C37" s="31"/>
      <c r="D37" s="31"/>
      <c r="E37" s="31"/>
      <c r="F37" s="47">
        <v>125</v>
      </c>
      <c r="G37" s="47">
        <v>0</v>
      </c>
      <c r="H37" s="47">
        <v>0</v>
      </c>
      <c r="I37" s="47">
        <v>125</v>
      </c>
      <c r="J37" s="47">
        <v>0</v>
      </c>
      <c r="K37" s="47">
        <v>0</v>
      </c>
      <c r="L37" s="47">
        <v>125</v>
      </c>
      <c r="M37" s="47">
        <v>0</v>
      </c>
      <c r="N37" s="47">
        <v>0</v>
      </c>
      <c r="O37" s="30"/>
    </row>
    <row r="38" spans="2:15" x14ac:dyDescent="0.25">
      <c r="B38" s="36" t="s">
        <v>109</v>
      </c>
      <c r="C38" s="31"/>
      <c r="D38" s="31"/>
      <c r="E38" s="31"/>
      <c r="F38" s="45">
        <f>SUM(F33:F37)</f>
        <v>5975</v>
      </c>
      <c r="G38" s="61">
        <f t="shared" ref="G38:N38" si="2">SUM(G33:G37)</f>
        <v>5350</v>
      </c>
      <c r="H38" s="61">
        <f t="shared" si="2"/>
        <v>6000</v>
      </c>
      <c r="I38" s="61">
        <f t="shared" si="2"/>
        <v>89125</v>
      </c>
      <c r="J38" s="61">
        <f t="shared" si="2"/>
        <v>3600</v>
      </c>
      <c r="K38" s="61">
        <f t="shared" si="2"/>
        <v>3800</v>
      </c>
      <c r="L38" s="61">
        <f t="shared" si="2"/>
        <v>4845</v>
      </c>
      <c r="M38" s="61">
        <f t="shared" si="2"/>
        <v>3800</v>
      </c>
      <c r="N38" s="61">
        <f t="shared" si="2"/>
        <v>3605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76" t="s">
        <v>95</v>
      </c>
      <c r="C40" s="176"/>
      <c r="D40" s="176"/>
      <c r="E40" s="176"/>
      <c r="F40" s="176"/>
      <c r="G40" s="176"/>
      <c r="H40" s="176"/>
      <c r="I40" s="176"/>
      <c r="J40" s="176"/>
      <c r="K40" s="176"/>
      <c r="L40" s="176"/>
      <c r="M40" s="176"/>
      <c r="N40" s="176"/>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15000</v>
      </c>
      <c r="G42" s="62">
        <f t="shared" ref="G42:N42" si="3">F46</f>
        <v>25000</v>
      </c>
      <c r="H42" s="62">
        <f t="shared" si="3"/>
        <v>25000</v>
      </c>
      <c r="I42" s="62">
        <f t="shared" si="3"/>
        <v>25000</v>
      </c>
      <c r="J42" s="62">
        <f t="shared" si="3"/>
        <v>25000</v>
      </c>
      <c r="K42" s="62">
        <f t="shared" si="3"/>
        <v>25000</v>
      </c>
      <c r="L42" s="62">
        <f t="shared" si="3"/>
        <v>25000</v>
      </c>
      <c r="M42" s="62">
        <f t="shared" si="3"/>
        <v>25000</v>
      </c>
      <c r="N42" s="62">
        <f t="shared" si="3"/>
        <v>25000</v>
      </c>
      <c r="O42" s="30"/>
    </row>
    <row r="43" spans="2:15" ht="17.25" x14ac:dyDescent="0.4">
      <c r="B43" s="34" t="s">
        <v>87</v>
      </c>
      <c r="C43" s="35"/>
      <c r="D43" s="35"/>
      <c r="E43" s="35"/>
      <c r="F43" s="35">
        <f>F31-F38</f>
        <v>7037.5</v>
      </c>
      <c r="G43" s="35">
        <f t="shared" ref="G43:N43" si="4">G31-G38</f>
        <v>8427.5</v>
      </c>
      <c r="H43" s="35">
        <f t="shared" si="4"/>
        <v>8612.5</v>
      </c>
      <c r="I43" s="35">
        <f t="shared" si="4"/>
        <v>-76887.5</v>
      </c>
      <c r="J43" s="35">
        <f t="shared" si="4"/>
        <v>8912.5</v>
      </c>
      <c r="K43" s="35">
        <f t="shared" si="4"/>
        <v>1200</v>
      </c>
      <c r="L43" s="35">
        <f t="shared" si="4"/>
        <v>1392.5</v>
      </c>
      <c r="M43" s="35">
        <f t="shared" si="4"/>
        <v>2902.5</v>
      </c>
      <c r="N43" s="35">
        <f t="shared" si="4"/>
        <v>3461.25</v>
      </c>
      <c r="O43" s="30"/>
    </row>
    <row r="44" spans="2:15" x14ac:dyDescent="0.25">
      <c r="B44" s="36" t="s">
        <v>88</v>
      </c>
      <c r="C44" s="36"/>
      <c r="D44" s="36"/>
      <c r="E44" s="36"/>
      <c r="F44" s="36">
        <f>F42+F43</f>
        <v>22037.5</v>
      </c>
      <c r="G44" s="63">
        <f t="shared" ref="G44:N44" si="5">G42+G43</f>
        <v>33427.5</v>
      </c>
      <c r="H44" s="63">
        <f t="shared" si="5"/>
        <v>33612.5</v>
      </c>
      <c r="I44" s="63">
        <f t="shared" si="5"/>
        <v>-51887.5</v>
      </c>
      <c r="J44" s="63">
        <f t="shared" si="5"/>
        <v>33912.5</v>
      </c>
      <c r="K44" s="63">
        <f t="shared" si="5"/>
        <v>26200</v>
      </c>
      <c r="L44" s="63">
        <f t="shared" si="5"/>
        <v>26392.5</v>
      </c>
      <c r="M44" s="63">
        <f t="shared" si="5"/>
        <v>27902.5</v>
      </c>
      <c r="N44" s="63">
        <f t="shared" si="5"/>
        <v>28461.25</v>
      </c>
      <c r="O44" s="36"/>
    </row>
    <row r="45" spans="2:15" ht="17.25" x14ac:dyDescent="0.4">
      <c r="B45" s="34" t="s">
        <v>89</v>
      </c>
      <c r="C45" s="35"/>
      <c r="D45" s="35"/>
      <c r="E45" s="35"/>
      <c r="F45" s="35">
        <f>F46-F44</f>
        <v>2962.5</v>
      </c>
      <c r="G45" s="35">
        <f t="shared" ref="G45:N45" si="6">G46-G44</f>
        <v>-8427.5</v>
      </c>
      <c r="H45" s="35">
        <f t="shared" si="6"/>
        <v>-8612.5</v>
      </c>
      <c r="I45" s="35">
        <f t="shared" si="6"/>
        <v>76887.5</v>
      </c>
      <c r="J45" s="35">
        <f t="shared" si="6"/>
        <v>-8912.5</v>
      </c>
      <c r="K45" s="35">
        <f t="shared" si="6"/>
        <v>-1200</v>
      </c>
      <c r="L45" s="35">
        <f t="shared" si="6"/>
        <v>-1392.5</v>
      </c>
      <c r="M45" s="35">
        <f t="shared" si="6"/>
        <v>-2902.5</v>
      </c>
      <c r="N45" s="35">
        <f t="shared" si="6"/>
        <v>-3461.25</v>
      </c>
      <c r="O45" s="30"/>
    </row>
    <row r="46" spans="2:15" x14ac:dyDescent="0.25">
      <c r="B46" s="36" t="s">
        <v>90</v>
      </c>
      <c r="C46" s="36"/>
      <c r="D46" s="36"/>
      <c r="E46" s="36">
        <v>15000</v>
      </c>
      <c r="F46" s="36">
        <f>L26</f>
        <v>25000</v>
      </c>
      <c r="G46" s="36">
        <f>F46</f>
        <v>25000</v>
      </c>
      <c r="H46" s="63">
        <f t="shared" ref="H46:N46" si="7">G46</f>
        <v>25000</v>
      </c>
      <c r="I46" s="63">
        <f t="shared" si="7"/>
        <v>25000</v>
      </c>
      <c r="J46" s="63">
        <f t="shared" si="7"/>
        <v>25000</v>
      </c>
      <c r="K46" s="63">
        <f t="shared" si="7"/>
        <v>25000</v>
      </c>
      <c r="L46" s="63">
        <f t="shared" si="7"/>
        <v>25000</v>
      </c>
      <c r="M46" s="63">
        <f t="shared" si="7"/>
        <v>25000</v>
      </c>
      <c r="N46" s="63">
        <f t="shared" si="7"/>
        <v>25000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139</v>
      </c>
      <c r="C48" s="36"/>
      <c r="D48" s="36"/>
      <c r="E48" s="33"/>
      <c r="F48" s="33">
        <f>F45</f>
        <v>2962.5</v>
      </c>
      <c r="G48" s="33">
        <f>F48+G45</f>
        <v>-5465</v>
      </c>
      <c r="H48" s="62">
        <f t="shared" ref="H48:N48" si="8">G48+H45</f>
        <v>-14077.5</v>
      </c>
      <c r="I48" s="62">
        <f t="shared" si="8"/>
        <v>62810</v>
      </c>
      <c r="J48" s="62">
        <f t="shared" si="8"/>
        <v>53897.5</v>
      </c>
      <c r="K48" s="62">
        <f t="shared" si="8"/>
        <v>52697.5</v>
      </c>
      <c r="L48" s="62">
        <f t="shared" si="8"/>
        <v>51305</v>
      </c>
      <c r="M48" s="62">
        <f t="shared" si="8"/>
        <v>48402.5</v>
      </c>
      <c r="N48" s="62">
        <f t="shared" si="8"/>
        <v>44941.25</v>
      </c>
      <c r="O48" s="35"/>
    </row>
    <row r="49" spans="2:14" ht="15.75" thickBot="1" x14ac:dyDescent="0.3">
      <c r="B49" s="32"/>
      <c r="C49" s="32"/>
      <c r="D49" s="32"/>
      <c r="E49" s="33"/>
      <c r="F49" s="33"/>
      <c r="G49" s="33"/>
      <c r="H49" s="33"/>
      <c r="I49" s="33"/>
      <c r="J49" s="33"/>
      <c r="K49" s="33"/>
      <c r="L49" s="33"/>
      <c r="M49" s="33"/>
      <c r="N49" s="33"/>
    </row>
    <row r="50" spans="2:14" ht="19.5" thickBot="1" x14ac:dyDescent="0.3">
      <c r="B50" s="176" t="s">
        <v>110</v>
      </c>
      <c r="C50" s="176"/>
      <c r="D50" s="176"/>
      <c r="E50" s="176"/>
      <c r="F50" s="176"/>
      <c r="G50" s="176"/>
      <c r="H50" s="176"/>
      <c r="I50" s="176"/>
      <c r="J50" s="176"/>
      <c r="K50" s="176"/>
      <c r="L50" s="176"/>
      <c r="M50" s="176"/>
      <c r="N50" s="176"/>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2962.5</v>
      </c>
      <c r="G52" s="62">
        <f t="shared" si="9"/>
        <v>0</v>
      </c>
      <c r="H52" s="62">
        <f t="shared" si="9"/>
        <v>0</v>
      </c>
      <c r="I52" s="62">
        <f t="shared" si="9"/>
        <v>62810</v>
      </c>
      <c r="J52" s="62">
        <f t="shared" si="9"/>
        <v>53897.5</v>
      </c>
      <c r="K52" s="62">
        <f t="shared" si="9"/>
        <v>52697.5</v>
      </c>
      <c r="L52" s="62">
        <f t="shared" si="9"/>
        <v>51305</v>
      </c>
      <c r="M52" s="62">
        <f t="shared" si="9"/>
        <v>48402.5</v>
      </c>
      <c r="N52" s="62">
        <f t="shared" si="9"/>
        <v>44941.25</v>
      </c>
    </row>
    <row r="53" spans="2:14" x14ac:dyDescent="0.25">
      <c r="B53" s="33" t="s">
        <v>92</v>
      </c>
      <c r="C53" s="33"/>
      <c r="D53" s="33"/>
      <c r="E53" s="33">
        <v>0</v>
      </c>
      <c r="F53" s="33">
        <f t="shared" ref="F53:N53" si="10">IF(F48&lt;0,-F48,0)</f>
        <v>0</v>
      </c>
      <c r="G53" s="62">
        <f t="shared" si="10"/>
        <v>5465</v>
      </c>
      <c r="H53" s="62">
        <f t="shared" si="10"/>
        <v>14077.5</v>
      </c>
      <c r="I53" s="62">
        <f t="shared" si="10"/>
        <v>0</v>
      </c>
      <c r="J53" s="62">
        <f t="shared" si="10"/>
        <v>0</v>
      </c>
      <c r="K53" s="62">
        <f t="shared" si="10"/>
        <v>0</v>
      </c>
      <c r="L53" s="62">
        <f t="shared" si="10"/>
        <v>0</v>
      </c>
      <c r="M53" s="62">
        <f t="shared" si="10"/>
        <v>0</v>
      </c>
      <c r="N53" s="62">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el" comment="Created by Del on 9/22/2011_x000a_Modified by D Hawley on 9/22/2013_x000a_Modified by Del on 6/9/2014">
      <inputCells r="F22" val="0.4" numFmtId="9"/>
      <inputCells r="F23" val="0.15" numFmtId="9"/>
      <inputCells r="F24" val="0.45" numFmtId="9"/>
    </scenario>
    <scenario name="Normal" locked="1" count="3" user="Del" comment="Created by Del on 9/22/2011_x000a_Modified by Del on 6/9/2012_x000a_Modified by D Hawley on 9/22/2013_x000a_Modified by Del on 6/9/2014">
      <inputCells r="F22" val="0.25" numFmtId="9"/>
      <inputCells r="F23" val="0.15" numFmtId="9"/>
      <inputCells r="F24" val="0.6" numFmtId="9"/>
    </scenario>
    <scenario name="Bad" locked="1" count="3" user="Del" comment="Created by Del on 9/22/2011_x000a_Modified by D Hawley on 9/22/2013_x000a_Modified by Del on 6/9/2014">
      <inputCells r="F22" val="0.2" numFmtId="9"/>
      <inputCells r="F23" val="0.15" numFmtId="9"/>
      <inputCells r="F24" val="0.6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I14" sqref="I14"/>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184" t="s">
        <v>155</v>
      </c>
      <c r="C2" s="184"/>
      <c r="D2" s="72"/>
      <c r="E2" s="72"/>
      <c r="F2" s="72"/>
      <c r="G2" s="72"/>
    </row>
    <row r="3" spans="2:7" ht="15.75" collapsed="1" x14ac:dyDescent="0.25">
      <c r="B3" s="183"/>
      <c r="C3" s="183"/>
      <c r="D3" s="73" t="s">
        <v>157</v>
      </c>
      <c r="E3" s="73" t="s">
        <v>152</v>
      </c>
      <c r="F3" s="73" t="s">
        <v>153</v>
      </c>
      <c r="G3" s="73" t="s">
        <v>154</v>
      </c>
    </row>
    <row r="4" spans="2:7" ht="101.25" hidden="1" outlineLevel="1" x14ac:dyDescent="0.25">
      <c r="B4" s="185"/>
      <c r="C4" s="185"/>
      <c r="D4" s="67"/>
      <c r="E4" s="75" t="s">
        <v>225</v>
      </c>
      <c r="F4" s="75" t="s">
        <v>226</v>
      </c>
      <c r="G4" s="75" t="s">
        <v>225</v>
      </c>
    </row>
    <row r="5" spans="2:7" x14ac:dyDescent="0.25">
      <c r="B5" s="186" t="s">
        <v>156</v>
      </c>
      <c r="C5" s="186"/>
      <c r="D5" s="71"/>
      <c r="E5" s="71"/>
      <c r="F5" s="71"/>
      <c r="G5" s="71"/>
    </row>
    <row r="6" spans="2:7" outlineLevel="1" x14ac:dyDescent="0.25">
      <c r="B6" s="185"/>
      <c r="C6" s="185" t="s">
        <v>140</v>
      </c>
      <c r="D6" s="68">
        <v>0.25</v>
      </c>
      <c r="E6" s="74">
        <v>0.4</v>
      </c>
      <c r="F6" s="74">
        <v>0.25</v>
      </c>
      <c r="G6" s="74">
        <v>0.2</v>
      </c>
    </row>
    <row r="7" spans="2:7" outlineLevel="1" x14ac:dyDescent="0.25">
      <c r="B7" s="185"/>
      <c r="C7" s="185" t="s">
        <v>141</v>
      </c>
      <c r="D7" s="68">
        <v>0.15</v>
      </c>
      <c r="E7" s="74">
        <v>0.15</v>
      </c>
      <c r="F7" s="74">
        <v>0.15</v>
      </c>
      <c r="G7" s="74">
        <v>0.15</v>
      </c>
    </row>
    <row r="8" spans="2:7" outlineLevel="1" x14ac:dyDescent="0.25">
      <c r="B8" s="185"/>
      <c r="C8" s="185" t="s">
        <v>142</v>
      </c>
      <c r="D8" s="68">
        <v>0.6</v>
      </c>
      <c r="E8" s="74">
        <v>0.45</v>
      </c>
      <c r="F8" s="74">
        <v>0.6</v>
      </c>
      <c r="G8" s="74">
        <v>0.65</v>
      </c>
    </row>
    <row r="9" spans="2:7" x14ac:dyDescent="0.25">
      <c r="B9" s="186" t="s">
        <v>158</v>
      </c>
      <c r="C9" s="186"/>
      <c r="D9" s="71"/>
      <c r="E9" s="71"/>
      <c r="F9" s="71"/>
      <c r="G9" s="71"/>
    </row>
    <row r="10" spans="2:7" outlineLevel="1" x14ac:dyDescent="0.25">
      <c r="B10" s="185"/>
      <c r="C10" s="185" t="s">
        <v>143</v>
      </c>
      <c r="D10" s="69">
        <v>7037.5</v>
      </c>
      <c r="E10" s="69">
        <v>7165</v>
      </c>
      <c r="F10" s="69">
        <v>7037.5</v>
      </c>
      <c r="G10" s="69">
        <v>6995</v>
      </c>
    </row>
    <row r="11" spans="2:7" outlineLevel="1" x14ac:dyDescent="0.25">
      <c r="B11" s="185"/>
      <c r="C11" s="185" t="s">
        <v>144</v>
      </c>
      <c r="D11" s="69">
        <v>8427.5</v>
      </c>
      <c r="E11" s="69">
        <v>8517.5</v>
      </c>
      <c r="F11" s="69">
        <v>8427.5</v>
      </c>
      <c r="G11" s="69">
        <v>8397.5</v>
      </c>
    </row>
    <row r="12" spans="2:7" outlineLevel="1" x14ac:dyDescent="0.25">
      <c r="B12" s="185"/>
      <c r="C12" s="185" t="s">
        <v>145</v>
      </c>
      <c r="D12" s="69">
        <v>8612.5</v>
      </c>
      <c r="E12" s="69">
        <v>9212.5</v>
      </c>
      <c r="F12" s="69">
        <v>8612.5</v>
      </c>
      <c r="G12" s="69">
        <v>8412.5</v>
      </c>
    </row>
    <row r="13" spans="2:7" outlineLevel="1" x14ac:dyDescent="0.25">
      <c r="B13" s="185"/>
      <c r="C13" s="185" t="s">
        <v>146</v>
      </c>
      <c r="D13" s="69">
        <v>-76887.5</v>
      </c>
      <c r="E13" s="69">
        <v>-78387.5</v>
      </c>
      <c r="F13" s="69">
        <v>-76887.5</v>
      </c>
      <c r="G13" s="69">
        <v>-76387.5</v>
      </c>
    </row>
    <row r="14" spans="2:7" outlineLevel="1" x14ac:dyDescent="0.25">
      <c r="B14" s="185"/>
      <c r="C14" s="185" t="s">
        <v>147</v>
      </c>
      <c r="D14" s="69">
        <v>8912.5</v>
      </c>
      <c r="E14" s="69">
        <v>7112.5</v>
      </c>
      <c r="F14" s="69">
        <v>8912.5</v>
      </c>
      <c r="G14" s="69">
        <v>9512.5</v>
      </c>
    </row>
    <row r="15" spans="2:7" outlineLevel="1" x14ac:dyDescent="0.25">
      <c r="B15" s="185"/>
      <c r="C15" s="185" t="s">
        <v>148</v>
      </c>
      <c r="D15" s="69">
        <v>1200</v>
      </c>
      <c r="E15" s="69">
        <v>1537.5</v>
      </c>
      <c r="F15" s="69">
        <v>1200</v>
      </c>
      <c r="G15" s="69">
        <v>1087.5</v>
      </c>
    </row>
    <row r="16" spans="2:7" outlineLevel="1" x14ac:dyDescent="0.25">
      <c r="B16" s="185"/>
      <c r="C16" s="185" t="s">
        <v>149</v>
      </c>
      <c r="D16" s="69">
        <v>1392.5</v>
      </c>
      <c r="E16" s="69">
        <v>1745</v>
      </c>
      <c r="F16" s="69">
        <v>1392.5</v>
      </c>
      <c r="G16" s="69">
        <v>1275</v>
      </c>
    </row>
    <row r="17" spans="2:7" outlineLevel="1" x14ac:dyDescent="0.25">
      <c r="B17" s="185"/>
      <c r="C17" s="185" t="s">
        <v>150</v>
      </c>
      <c r="D17" s="69">
        <v>2902.5</v>
      </c>
      <c r="E17" s="69">
        <v>2902.5</v>
      </c>
      <c r="F17" s="69">
        <v>2902.5</v>
      </c>
      <c r="G17" s="69">
        <v>2902.5</v>
      </c>
    </row>
    <row r="18" spans="2:7" ht="15.75" outlineLevel="1" thickBot="1" x14ac:dyDescent="0.3">
      <c r="B18" s="187"/>
      <c r="C18" s="187" t="s">
        <v>151</v>
      </c>
      <c r="D18" s="70">
        <v>3461.25</v>
      </c>
      <c r="E18" s="70">
        <v>3112.5</v>
      </c>
      <c r="F18" s="70">
        <v>3461.25</v>
      </c>
      <c r="G18" s="70">
        <v>3577.5</v>
      </c>
    </row>
    <row r="19" spans="2:7" x14ac:dyDescent="0.25">
      <c r="B19" t="s">
        <v>159</v>
      </c>
    </row>
    <row r="20" spans="2:7" x14ac:dyDescent="0.25">
      <c r="B20" t="s">
        <v>160</v>
      </c>
    </row>
    <row r="21" spans="2:7" x14ac:dyDescent="0.25">
      <c r="B21" t="s">
        <v>161</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workbookViewId="0">
      <selection activeCell="K39" sqref="K39"/>
    </sheetView>
  </sheetViews>
  <sheetFormatPr defaultRowHeight="15" x14ac:dyDescent="0.25"/>
  <cols>
    <col min="10" max="10" width="17.28515625" customWidth="1"/>
  </cols>
  <sheetData>
    <row r="5" spans="10:19" x14ac:dyDescent="0.35">
      <c r="K5" t="s">
        <v>162</v>
      </c>
      <c r="L5" t="s">
        <v>163</v>
      </c>
      <c r="M5" s="64" t="s">
        <v>164</v>
      </c>
      <c r="N5" s="64" t="s">
        <v>165</v>
      </c>
      <c r="O5" s="64" t="s">
        <v>166</v>
      </c>
      <c r="P5" s="64" t="s">
        <v>167</v>
      </c>
      <c r="Q5" s="64" t="s">
        <v>168</v>
      </c>
      <c r="R5" s="64" t="s">
        <v>169</v>
      </c>
      <c r="S5" s="64" t="s">
        <v>170</v>
      </c>
    </row>
    <row r="6" spans="10:19" x14ac:dyDescent="0.35">
      <c r="J6" t="s">
        <v>172</v>
      </c>
      <c r="K6" s="62">
        <f>-'Prob 2 - 25 Pts '!F52</f>
        <v>-2962.5</v>
      </c>
      <c r="L6" s="62">
        <f>-'Prob 2 - 25 Pts '!G52</f>
        <v>0</v>
      </c>
      <c r="M6" s="62">
        <f>-'Prob 2 - 25 Pts '!H52</f>
        <v>0</v>
      </c>
      <c r="N6" s="62">
        <f>-'Prob 2 - 25 Pts '!I52</f>
        <v>-62810</v>
      </c>
      <c r="O6" s="62">
        <f>-'Prob 2 - 25 Pts '!J52</f>
        <v>-53897.5</v>
      </c>
      <c r="P6" s="62">
        <f>-'Prob 2 - 25 Pts '!K52</f>
        <v>-52697.5</v>
      </c>
      <c r="Q6" s="62">
        <f>-'Prob 2 - 25 Pts '!L52</f>
        <v>-51305</v>
      </c>
      <c r="R6" s="62">
        <f>-'Prob 2 - 25 Pts '!M52</f>
        <v>-48402.5</v>
      </c>
      <c r="S6" s="62">
        <f>-'Prob 2 - 25 Pts '!N52</f>
        <v>-44941.25</v>
      </c>
    </row>
    <row r="7" spans="10:19" x14ac:dyDescent="0.35">
      <c r="J7" t="s">
        <v>171</v>
      </c>
      <c r="K7" s="62">
        <f>'Prob 2 - 25 Pts '!F53</f>
        <v>0</v>
      </c>
      <c r="L7" s="62">
        <f>'Prob 2 - 25 Pts '!G53</f>
        <v>5465</v>
      </c>
      <c r="M7" s="62">
        <f>'Prob 2 - 25 Pts '!H53</f>
        <v>14077.5</v>
      </c>
      <c r="N7" s="62">
        <f>'Prob 2 - 25 Pts '!I53</f>
        <v>0</v>
      </c>
      <c r="O7" s="62">
        <f>'Prob 2 - 25 Pts '!J53</f>
        <v>0</v>
      </c>
      <c r="P7" s="62">
        <f>'Prob 2 - 25 Pts '!K53</f>
        <v>0</v>
      </c>
      <c r="Q7" s="62">
        <f>'Prob 2 - 25 Pts '!L53</f>
        <v>0</v>
      </c>
      <c r="R7" s="62">
        <f>'Prob 2 - 25 Pts '!M53</f>
        <v>0</v>
      </c>
      <c r="S7" s="62">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7"/>
  <sheetViews>
    <sheetView topLeftCell="A16" workbookViewId="0">
      <selection activeCell="K18" sqref="K18"/>
    </sheetView>
  </sheetViews>
  <sheetFormatPr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22" t="s">
        <v>195</v>
      </c>
      <c r="C6" s="123" t="s">
        <v>201</v>
      </c>
      <c r="D6" s="123" t="s">
        <v>196</v>
      </c>
      <c r="E6" s="124" t="s">
        <v>197</v>
      </c>
    </row>
    <row r="7" spans="2:5" x14ac:dyDescent="0.25">
      <c r="B7" s="119">
        <v>2000</v>
      </c>
      <c r="C7" s="120">
        <v>9.44</v>
      </c>
      <c r="D7" s="121"/>
      <c r="E7" s="121"/>
    </row>
    <row r="8" spans="2:5" x14ac:dyDescent="0.25">
      <c r="B8" s="113">
        <v>2001</v>
      </c>
      <c r="C8" s="111">
        <v>9.85</v>
      </c>
      <c r="D8" s="112">
        <f>C8/C7-1</f>
        <v>4.3432203389830448E-2</v>
      </c>
      <c r="E8" s="114">
        <f>1+D8</f>
        <v>1.0434322033898304</v>
      </c>
    </row>
    <row r="9" spans="2:5" x14ac:dyDescent="0.25">
      <c r="B9" s="113">
        <v>2002</v>
      </c>
      <c r="C9" s="111">
        <v>10.15</v>
      </c>
      <c r="D9" s="112">
        <f t="shared" ref="D9:D20" si="0">C9/C8-1</f>
        <v>3.0456852791878264E-2</v>
      </c>
      <c r="E9" s="114">
        <f t="shared" ref="E9:E20" si="1">1+D9</f>
        <v>1.0304568527918783</v>
      </c>
    </row>
    <row r="10" spans="2:5" x14ac:dyDescent="0.25">
      <c r="B10" s="113">
        <v>2003</v>
      </c>
      <c r="C10" s="111">
        <v>9.75</v>
      </c>
      <c r="D10" s="112">
        <f t="shared" si="0"/>
        <v>-3.9408866995073955E-2</v>
      </c>
      <c r="E10" s="114">
        <f t="shared" si="1"/>
        <v>0.96059113300492605</v>
      </c>
    </row>
    <row r="11" spans="2:5" x14ac:dyDescent="0.25">
      <c r="B11" s="113">
        <v>2004</v>
      </c>
      <c r="C11" s="111">
        <v>10.199999999999999</v>
      </c>
      <c r="D11" s="112">
        <f t="shared" si="0"/>
        <v>4.615384615384599E-2</v>
      </c>
      <c r="E11" s="114">
        <f t="shared" si="1"/>
        <v>1.046153846153846</v>
      </c>
    </row>
    <row r="12" spans="2:5" x14ac:dyDescent="0.25">
      <c r="B12" s="113">
        <v>2005</v>
      </c>
      <c r="C12" s="111">
        <v>10.64</v>
      </c>
      <c r="D12" s="112">
        <f t="shared" si="0"/>
        <v>4.3137254901960853E-2</v>
      </c>
      <c r="E12" s="114">
        <f t="shared" si="1"/>
        <v>1.0431372549019609</v>
      </c>
    </row>
    <row r="13" spans="2:5" x14ac:dyDescent="0.25">
      <c r="B13" s="113">
        <v>2006</v>
      </c>
      <c r="C13" s="111">
        <v>11.25</v>
      </c>
      <c r="D13" s="112">
        <f t="shared" si="0"/>
        <v>5.7330827067669121E-2</v>
      </c>
      <c r="E13" s="114">
        <f t="shared" si="1"/>
        <v>1.0573308270676691</v>
      </c>
    </row>
    <row r="14" spans="2:5" x14ac:dyDescent="0.25">
      <c r="B14" s="113">
        <v>2007</v>
      </c>
      <c r="C14" s="111">
        <v>11.62</v>
      </c>
      <c r="D14" s="112">
        <f t="shared" si="0"/>
        <v>3.2888888888888745E-2</v>
      </c>
      <c r="E14" s="114">
        <f t="shared" si="1"/>
        <v>1.0328888888888887</v>
      </c>
    </row>
    <row r="15" spans="2:5" x14ac:dyDescent="0.25">
      <c r="B15" s="113">
        <v>2008</v>
      </c>
      <c r="C15" s="111">
        <v>10</v>
      </c>
      <c r="D15" s="112">
        <f t="shared" si="0"/>
        <v>-0.13941480206540446</v>
      </c>
      <c r="E15" s="114">
        <f t="shared" si="1"/>
        <v>0.86058519793459554</v>
      </c>
    </row>
    <row r="16" spans="2:5" x14ac:dyDescent="0.25">
      <c r="B16" s="113">
        <v>2009</v>
      </c>
      <c r="C16" s="111">
        <v>9.75</v>
      </c>
      <c r="D16" s="112">
        <f t="shared" si="0"/>
        <v>-2.5000000000000022E-2</v>
      </c>
      <c r="E16" s="114">
        <f t="shared" si="1"/>
        <v>0.97499999999999998</v>
      </c>
    </row>
    <row r="17" spans="2:5" x14ac:dyDescent="0.25">
      <c r="B17" s="113">
        <v>2010</v>
      </c>
      <c r="C17" s="111">
        <v>10.5</v>
      </c>
      <c r="D17" s="112">
        <f t="shared" si="0"/>
        <v>7.6923076923076872E-2</v>
      </c>
      <c r="E17" s="114">
        <f t="shared" si="1"/>
        <v>1.0769230769230769</v>
      </c>
    </row>
    <row r="18" spans="2:5" x14ac:dyDescent="0.25">
      <c r="B18" s="113">
        <v>2011</v>
      </c>
      <c r="C18" s="111">
        <v>11.15</v>
      </c>
      <c r="D18" s="112">
        <f t="shared" si="0"/>
        <v>6.1904761904761907E-2</v>
      </c>
      <c r="E18" s="114">
        <f t="shared" si="1"/>
        <v>1.0619047619047619</v>
      </c>
    </row>
    <row r="19" spans="2:5" x14ac:dyDescent="0.25">
      <c r="B19" s="113">
        <v>2012</v>
      </c>
      <c r="C19" s="111">
        <v>11.8</v>
      </c>
      <c r="D19" s="112">
        <f t="shared" si="0"/>
        <v>5.8295964125560484E-2</v>
      </c>
      <c r="E19" s="114">
        <f t="shared" si="1"/>
        <v>1.0582959641255605</v>
      </c>
    </row>
    <row r="20" spans="2:5" ht="15.75" thickBot="1" x14ac:dyDescent="0.3">
      <c r="B20" s="115">
        <v>2013</v>
      </c>
      <c r="C20" s="116">
        <v>13.15</v>
      </c>
      <c r="D20" s="117">
        <f t="shared" si="0"/>
        <v>0.11440677966101687</v>
      </c>
      <c r="E20" s="118">
        <f t="shared" si="1"/>
        <v>1.1144067796610169</v>
      </c>
    </row>
    <row r="21" spans="2:5" x14ac:dyDescent="0.25">
      <c r="B21" s="125"/>
      <c r="C21" s="126"/>
      <c r="D21" s="126"/>
      <c r="E21" s="127"/>
    </row>
    <row r="22" spans="2:5" x14ac:dyDescent="0.25">
      <c r="B22" s="134" t="s">
        <v>198</v>
      </c>
      <c r="C22" s="128"/>
      <c r="D22" s="128"/>
      <c r="E22" s="129"/>
    </row>
    <row r="23" spans="2:5" ht="15.75" thickBot="1" x14ac:dyDescent="0.3">
      <c r="B23" s="130"/>
      <c r="C23" s="177"/>
      <c r="D23" s="177"/>
      <c r="E23" s="129"/>
    </row>
    <row r="24" spans="2:5" ht="15.75" thickBot="1" x14ac:dyDescent="0.3">
      <c r="B24" s="130"/>
      <c r="C24" s="135">
        <f>GEOMEAN(E8:E20)-1</f>
        <v>2.5825205858291289E-2</v>
      </c>
      <c r="D24" s="128" t="s">
        <v>199</v>
      </c>
      <c r="E24" s="129"/>
    </row>
    <row r="25" spans="2:5" ht="15.75" thickBot="1" x14ac:dyDescent="0.3">
      <c r="B25" s="130"/>
      <c r="C25" s="136"/>
      <c r="D25" s="128"/>
      <c r="E25" s="129"/>
    </row>
    <row r="26" spans="2:5" ht="15.75" thickBot="1" x14ac:dyDescent="0.3">
      <c r="B26" s="130"/>
      <c r="C26" s="135">
        <f>(PRODUCT(E8:E20)^(1/13))-1</f>
        <v>2.5825205858291289E-2</v>
      </c>
      <c r="D26" s="128" t="s">
        <v>200</v>
      </c>
      <c r="E26" s="129"/>
    </row>
    <row r="27" spans="2:5" ht="15.75" thickBot="1" x14ac:dyDescent="0.3">
      <c r="B27" s="131"/>
      <c r="C27" s="132"/>
      <c r="D27" s="132"/>
      <c r="E27" s="133"/>
    </row>
  </sheetData>
  <mergeCells count="1">
    <mergeCell ref="C23:D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opLeftCell="A13" zoomScale="85" zoomScaleNormal="85" workbookViewId="0">
      <selection activeCell="E36" sqref="E36"/>
    </sheetView>
  </sheetViews>
  <sheetFormatPr defaultColWidth="9.140625" defaultRowHeight="15" x14ac:dyDescent="0.25"/>
  <cols>
    <col min="1" max="1" width="4.5703125" style="137" customWidth="1"/>
    <col min="2" max="2" width="35.7109375" style="137" customWidth="1"/>
    <col min="3" max="4" width="18.7109375" style="137" customWidth="1"/>
    <col min="5" max="16384" width="9.140625" style="137"/>
  </cols>
  <sheetData>
    <row r="1" spans="2:4" ht="48" customHeight="1" x14ac:dyDescent="0.25"/>
    <row r="10" spans="2:4" ht="15.75" thickBot="1" x14ac:dyDescent="0.3"/>
    <row r="11" spans="2:4" s="138" customFormat="1" ht="24.95" customHeight="1" x14ac:dyDescent="0.25">
      <c r="B11" s="188" t="s">
        <v>175</v>
      </c>
      <c r="C11" s="189"/>
      <c r="D11" s="190"/>
    </row>
    <row r="12" spans="2:4" s="138" customFormat="1" ht="24.95" customHeight="1" x14ac:dyDescent="0.25">
      <c r="B12" s="191" t="s">
        <v>176</v>
      </c>
      <c r="C12" s="192"/>
      <c r="D12" s="193"/>
    </row>
    <row r="13" spans="2:4" s="138" customFormat="1" ht="24.95" customHeight="1" thickBot="1" x14ac:dyDescent="0.3">
      <c r="B13" s="194" t="s">
        <v>227</v>
      </c>
      <c r="C13" s="195"/>
      <c r="D13" s="196"/>
    </row>
    <row r="14" spans="2:4" ht="50.1" customHeight="1" thickBot="1" x14ac:dyDescent="0.35">
      <c r="B14" s="139"/>
      <c r="C14" s="163" t="s">
        <v>228</v>
      </c>
      <c r="D14" s="164" t="s">
        <v>216</v>
      </c>
    </row>
    <row r="15" spans="2:4" ht="17.25" customHeight="1" x14ac:dyDescent="0.25">
      <c r="B15" s="140" t="s">
        <v>12</v>
      </c>
      <c r="C15" s="150">
        <v>3850000</v>
      </c>
      <c r="D15" s="141">
        <v>3432000</v>
      </c>
    </row>
    <row r="16" spans="2:4" ht="17.25" x14ac:dyDescent="0.4">
      <c r="B16" s="142" t="s">
        <v>177</v>
      </c>
      <c r="C16" s="78">
        <v>3250000</v>
      </c>
      <c r="D16" s="79">
        <v>2864000</v>
      </c>
    </row>
    <row r="17" spans="2:7" x14ac:dyDescent="0.25">
      <c r="B17" s="143" t="s">
        <v>14</v>
      </c>
      <c r="C17" s="151">
        <v>600000</v>
      </c>
      <c r="D17" s="144">
        <v>568000</v>
      </c>
    </row>
    <row r="18" spans="2:7" x14ac:dyDescent="0.25">
      <c r="B18" s="145" t="s">
        <v>2</v>
      </c>
      <c r="C18" s="77">
        <v>330300</v>
      </c>
      <c r="D18" s="76">
        <v>240000</v>
      </c>
    </row>
    <row r="19" spans="2:7" x14ac:dyDescent="0.25">
      <c r="B19" s="145" t="s">
        <v>3</v>
      </c>
      <c r="C19" s="77">
        <v>100000</v>
      </c>
      <c r="D19" s="76">
        <v>100000</v>
      </c>
    </row>
    <row r="20" spans="2:7" ht="17.25" x14ac:dyDescent="0.4">
      <c r="B20" s="142" t="s">
        <v>46</v>
      </c>
      <c r="C20" s="78">
        <v>20000</v>
      </c>
      <c r="D20" s="79">
        <v>18900</v>
      </c>
    </row>
    <row r="21" spans="2:7" x14ac:dyDescent="0.25">
      <c r="B21" s="143" t="s">
        <v>15</v>
      </c>
      <c r="C21" s="151">
        <v>149700</v>
      </c>
      <c r="D21" s="144">
        <v>209100</v>
      </c>
    </row>
    <row r="22" spans="2:7" ht="17.25" x14ac:dyDescent="0.4">
      <c r="B22" s="142" t="s">
        <v>5</v>
      </c>
      <c r="C22" s="78">
        <v>76000</v>
      </c>
      <c r="D22" s="79">
        <v>62500</v>
      </c>
    </row>
    <row r="23" spans="2:7" x14ac:dyDescent="0.25">
      <c r="B23" s="143" t="s">
        <v>16</v>
      </c>
      <c r="C23" s="151">
        <v>73700</v>
      </c>
      <c r="D23" s="144">
        <v>146600</v>
      </c>
      <c r="F23" s="62"/>
      <c r="G23" s="62"/>
    </row>
    <row r="24" spans="2:7" ht="17.25" x14ac:dyDescent="0.4">
      <c r="B24" s="142" t="s">
        <v>17</v>
      </c>
      <c r="C24" s="78">
        <v>29480</v>
      </c>
      <c r="D24" s="79">
        <v>58640</v>
      </c>
    </row>
    <row r="25" spans="2:7" ht="17.25" x14ac:dyDescent="0.4">
      <c r="B25" s="146" t="s">
        <v>18</v>
      </c>
      <c r="C25" s="152">
        <v>44220</v>
      </c>
      <c r="D25" s="147">
        <v>87960</v>
      </c>
    </row>
    <row r="26" spans="2:7" ht="6" customHeight="1" thickBot="1" x14ac:dyDescent="0.3">
      <c r="B26" s="148"/>
      <c r="C26" s="153"/>
      <c r="D26" s="149"/>
    </row>
    <row r="27" spans="2:7" ht="30" customHeight="1" thickBot="1" x14ac:dyDescent="0.3">
      <c r="B27" s="156" t="s">
        <v>202</v>
      </c>
      <c r="C27" s="154">
        <f>C17/C15</f>
        <v>0.15584415584415584</v>
      </c>
      <c r="D27" s="155">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topLeftCell="A12" zoomScale="85" zoomScaleNormal="85" workbookViewId="0">
      <selection activeCell="O17" sqref="O17"/>
    </sheetView>
  </sheetViews>
  <sheetFormatPr defaultRowHeight="15" x14ac:dyDescent="0.25"/>
  <cols>
    <col min="1" max="2" width="3.85546875" customWidth="1"/>
    <col min="3" max="3" width="10.42578125" customWidth="1"/>
    <col min="4" max="4" width="2.85546875" customWidth="1"/>
    <col min="5" max="5" width="2.7109375" customWidth="1"/>
    <col min="6" max="6" width="6" style="93" customWidth="1"/>
  </cols>
  <sheetData>
    <row r="1" spans="2:17" s="101" customFormat="1" x14ac:dyDescent="0.25">
      <c r="F1" s="93"/>
    </row>
    <row r="2" spans="2:17" s="101" customFormat="1" ht="139.5" customHeight="1" x14ac:dyDescent="0.25">
      <c r="F2" s="93"/>
    </row>
    <row r="3" spans="2:17" ht="15.75" thickBot="1" x14ac:dyDescent="0.3">
      <c r="B3" s="1"/>
      <c r="C3" s="158"/>
      <c r="D3" s="1"/>
      <c r="E3" s="1"/>
      <c r="F3" s="159"/>
      <c r="G3" s="1"/>
      <c r="H3" s="1"/>
      <c r="I3" s="1"/>
      <c r="J3" s="1"/>
      <c r="K3" s="1"/>
      <c r="L3" s="1"/>
      <c r="M3" s="1"/>
      <c r="N3" s="1"/>
      <c r="O3" s="1"/>
      <c r="P3" s="1"/>
      <c r="Q3" s="1"/>
    </row>
    <row r="4" spans="2:17" ht="103.15" customHeight="1" thickBot="1" x14ac:dyDescent="0.3">
      <c r="B4" s="160"/>
      <c r="C4" s="161" t="s">
        <v>123</v>
      </c>
      <c r="D4" s="178" t="s">
        <v>127</v>
      </c>
      <c r="E4" s="178"/>
      <c r="F4" s="178"/>
      <c r="G4" s="178"/>
      <c r="H4" s="178"/>
      <c r="I4" s="178"/>
      <c r="J4" s="178"/>
      <c r="K4" s="178"/>
      <c r="L4" s="178"/>
      <c r="M4" s="178"/>
      <c r="N4" s="178"/>
      <c r="O4" s="160"/>
      <c r="P4" s="160"/>
      <c r="Q4" s="160"/>
    </row>
    <row r="5" spans="2:17" ht="15.75" thickBot="1" x14ac:dyDescent="0.3">
      <c r="C5" s="94"/>
      <c r="D5" s="94"/>
    </row>
    <row r="6" spans="2:17" ht="15.75" thickBot="1" x14ac:dyDescent="0.3">
      <c r="C6" s="99" t="s">
        <v>231</v>
      </c>
      <c r="D6" s="96" t="s">
        <v>230</v>
      </c>
    </row>
    <row r="7" spans="2:17" ht="8.4499999999999993" customHeight="1" x14ac:dyDescent="0.25">
      <c r="C7" s="98"/>
      <c r="D7" s="96"/>
    </row>
    <row r="8" spans="2:17" s="101" customFormat="1" ht="14.25" customHeight="1" x14ac:dyDescent="0.25">
      <c r="C8" s="98"/>
      <c r="D8" s="95" t="s">
        <v>206</v>
      </c>
      <c r="F8" s="93"/>
    </row>
    <row r="9" spans="2:17" x14ac:dyDescent="0.25">
      <c r="C9" s="98"/>
      <c r="D9" s="95" t="s">
        <v>207</v>
      </c>
    </row>
    <row r="10" spans="2:17" x14ac:dyDescent="0.25">
      <c r="C10" s="98"/>
      <c r="D10" s="95" t="s">
        <v>208</v>
      </c>
    </row>
    <row r="11" spans="2:17" x14ac:dyDescent="0.25">
      <c r="C11" s="98"/>
      <c r="D11" s="95" t="s">
        <v>209</v>
      </c>
    </row>
    <row r="12" spans="2:17" x14ac:dyDescent="0.25">
      <c r="C12" s="98"/>
      <c r="D12" s="95" t="s">
        <v>122</v>
      </c>
    </row>
    <row r="13" spans="2:17" thickBot="1" x14ac:dyDescent="0.35">
      <c r="C13" s="98"/>
      <c r="D13" s="94"/>
    </row>
    <row r="14" spans="2:17" ht="15.75" thickBot="1" x14ac:dyDescent="0.3">
      <c r="C14" s="99" t="s">
        <v>173</v>
      </c>
      <c r="D14" s="96" t="s">
        <v>179</v>
      </c>
    </row>
    <row r="15" spans="2:17" ht="9.6" customHeight="1" x14ac:dyDescent="0.3">
      <c r="C15" s="94"/>
      <c r="D15" s="96"/>
    </row>
    <row r="16" spans="2:17" x14ac:dyDescent="0.25">
      <c r="C16" s="94"/>
      <c r="D16" s="95" t="s">
        <v>180</v>
      </c>
    </row>
    <row r="17" spans="1:17" x14ac:dyDescent="0.25">
      <c r="C17" s="94"/>
      <c r="D17" s="95" t="s">
        <v>229</v>
      </c>
    </row>
    <row r="18" spans="1:17" x14ac:dyDescent="0.25">
      <c r="C18" s="94"/>
      <c r="D18" s="95" t="s">
        <v>181</v>
      </c>
    </row>
    <row r="19" spans="1:17" x14ac:dyDescent="0.25">
      <c r="C19" s="94"/>
      <c r="D19" s="95" t="s">
        <v>182</v>
      </c>
      <c r="E19" s="94"/>
    </row>
    <row r="20" spans="1:17" x14ac:dyDescent="0.25">
      <c r="C20" s="94"/>
      <c r="D20" s="95" t="s">
        <v>183</v>
      </c>
      <c r="E20" s="94"/>
    </row>
    <row r="21" spans="1:17" ht="15.75" thickBot="1" x14ac:dyDescent="0.3">
      <c r="C21" s="94"/>
      <c r="D21" s="95"/>
      <c r="E21" s="94"/>
    </row>
    <row r="22" spans="1:17" ht="15.75" thickBot="1" x14ac:dyDescent="0.3">
      <c r="C22" s="99" t="s">
        <v>173</v>
      </c>
      <c r="D22" s="96" t="s">
        <v>232</v>
      </c>
      <c r="E22" s="94"/>
    </row>
    <row r="23" spans="1:17" x14ac:dyDescent="0.25">
      <c r="C23" s="98"/>
      <c r="D23" s="96"/>
      <c r="E23" s="94"/>
    </row>
    <row r="24" spans="1:17" x14ac:dyDescent="0.25">
      <c r="C24" s="98"/>
      <c r="D24" s="95" t="s">
        <v>233</v>
      </c>
      <c r="E24" s="94"/>
    </row>
    <row r="25" spans="1:17" x14ac:dyDescent="0.25">
      <c r="C25" s="98"/>
      <c r="D25" s="95" t="s">
        <v>234</v>
      </c>
      <c r="E25" s="94"/>
    </row>
    <row r="26" spans="1:17" x14ac:dyDescent="0.25">
      <c r="C26" s="98"/>
      <c r="D26" s="95" t="s">
        <v>210</v>
      </c>
      <c r="E26" s="94"/>
    </row>
    <row r="27" spans="1:17" x14ac:dyDescent="0.25">
      <c r="C27" s="98"/>
      <c r="D27" s="95" t="s">
        <v>211</v>
      </c>
      <c r="E27" s="94"/>
    </row>
    <row r="28" spans="1:17" x14ac:dyDescent="0.25">
      <c r="C28" s="98"/>
      <c r="D28" s="95" t="s">
        <v>124</v>
      </c>
      <c r="E28" s="94"/>
    </row>
    <row r="29" spans="1:17" ht="15.75" thickBot="1" x14ac:dyDescent="0.3">
      <c r="A29" s="101"/>
      <c r="B29" s="1"/>
      <c r="C29" s="158"/>
      <c r="D29" s="162"/>
      <c r="E29" s="1"/>
      <c r="F29" s="159"/>
      <c r="G29" s="1"/>
      <c r="H29" s="1"/>
      <c r="I29" s="1"/>
      <c r="J29" s="1"/>
      <c r="K29" s="1"/>
      <c r="L29" s="1"/>
      <c r="M29" s="1"/>
      <c r="N29" s="1"/>
      <c r="O29" s="1"/>
      <c r="P29" s="1"/>
      <c r="Q29" s="1"/>
    </row>
    <row r="30" spans="1:17" ht="121.15" customHeight="1" thickBot="1" x14ac:dyDescent="0.3">
      <c r="B30" s="160"/>
      <c r="C30" s="161" t="s">
        <v>125</v>
      </c>
      <c r="D30" s="178" t="s">
        <v>128</v>
      </c>
      <c r="E30" s="178"/>
      <c r="F30" s="178"/>
      <c r="G30" s="178"/>
      <c r="H30" s="178"/>
      <c r="I30" s="178"/>
      <c r="J30" s="178"/>
      <c r="K30" s="178"/>
      <c r="L30" s="178"/>
      <c r="M30" s="178"/>
      <c r="N30" s="178"/>
      <c r="O30" s="160"/>
      <c r="P30" s="160"/>
      <c r="Q30" s="160"/>
    </row>
    <row r="31" spans="1:17" ht="15.75" thickBot="1" x14ac:dyDescent="0.3">
      <c r="C31" s="94"/>
      <c r="D31" s="94"/>
      <c r="E31" s="94"/>
    </row>
    <row r="32" spans="1:17" ht="15.75" thickBot="1" x14ac:dyDescent="0.3">
      <c r="C32" s="99" t="b">
        <v>0</v>
      </c>
      <c r="D32" s="94" t="s">
        <v>203</v>
      </c>
      <c r="E32" s="94"/>
    </row>
    <row r="33" spans="3:5" ht="15.75" thickBot="1" x14ac:dyDescent="0.3">
      <c r="C33" s="94"/>
      <c r="D33" s="94"/>
      <c r="E33" s="94"/>
    </row>
    <row r="34" spans="3:5" ht="15.75" thickBot="1" x14ac:dyDescent="0.3">
      <c r="C34" s="99" t="b">
        <v>1</v>
      </c>
      <c r="D34" s="94" t="s">
        <v>184</v>
      </c>
      <c r="E34" s="94"/>
    </row>
    <row r="35" spans="3:5" x14ac:dyDescent="0.25">
      <c r="C35" s="98"/>
      <c r="D35" s="94" t="s">
        <v>185</v>
      </c>
      <c r="E35" s="94"/>
    </row>
    <row r="36" spans="3:5" ht="15.75" thickBot="1" x14ac:dyDescent="0.3">
      <c r="C36" s="94"/>
      <c r="D36" s="94"/>
      <c r="E36" s="94"/>
    </row>
    <row r="37" spans="3:5" ht="15.75" thickBot="1" x14ac:dyDescent="0.3">
      <c r="C37" s="99" t="b">
        <v>1</v>
      </c>
      <c r="D37" s="94" t="s">
        <v>186</v>
      </c>
      <c r="E37" s="94"/>
    </row>
    <row r="38" spans="3:5" ht="15.75" thickBot="1" x14ac:dyDescent="0.3">
      <c r="C38" s="98"/>
      <c r="D38" s="94"/>
      <c r="E38" s="94"/>
    </row>
    <row r="39" spans="3:5" ht="15.75" thickBot="1" x14ac:dyDescent="0.3">
      <c r="C39" s="99" t="b">
        <v>0</v>
      </c>
      <c r="D39" s="94" t="s">
        <v>187</v>
      </c>
      <c r="E39" s="94"/>
    </row>
    <row r="40" spans="3:5" x14ac:dyDescent="0.25">
      <c r="C40" s="94"/>
      <c r="D40" s="94" t="s">
        <v>188</v>
      </c>
      <c r="E40" s="94"/>
    </row>
    <row r="41" spans="3:5" ht="15.75" thickBot="1" x14ac:dyDescent="0.3">
      <c r="C41" s="98"/>
      <c r="D41" s="94"/>
      <c r="E41" s="94"/>
    </row>
    <row r="42" spans="3:5" ht="15.75" thickBot="1" x14ac:dyDescent="0.3">
      <c r="C42" s="99" t="b">
        <v>0</v>
      </c>
      <c r="D42" s="94" t="s">
        <v>189</v>
      </c>
      <c r="E42" s="94"/>
    </row>
    <row r="43" spans="3:5" x14ac:dyDescent="0.25">
      <c r="C43" s="94"/>
      <c r="D43" s="94" t="s">
        <v>126</v>
      </c>
      <c r="E43" s="94"/>
    </row>
    <row r="44" spans="3:5" ht="15.75" thickBot="1" x14ac:dyDescent="0.3">
      <c r="C44" s="98"/>
      <c r="D44" s="94"/>
      <c r="E44" s="94"/>
    </row>
    <row r="45" spans="3:5" ht="15.75" thickBot="1" x14ac:dyDescent="0.3">
      <c r="C45" s="99" t="b">
        <v>0</v>
      </c>
      <c r="D45" s="94" t="s">
        <v>190</v>
      </c>
      <c r="E45" s="94"/>
    </row>
    <row r="46" spans="3:5" ht="15.75" thickBot="1" x14ac:dyDescent="0.3">
      <c r="C46" s="98"/>
      <c r="D46" s="94"/>
      <c r="E46" s="94"/>
    </row>
    <row r="47" spans="3:5" ht="15.75" thickBot="1" x14ac:dyDescent="0.3">
      <c r="C47" s="99" t="b">
        <v>0</v>
      </c>
      <c r="D47" s="94" t="s">
        <v>191</v>
      </c>
      <c r="E47" s="94"/>
    </row>
    <row r="48" spans="3:5" ht="15.75" thickBot="1" x14ac:dyDescent="0.3">
      <c r="C48" s="94"/>
      <c r="D48" s="94"/>
      <c r="E48" s="94"/>
    </row>
    <row r="49" spans="2:17" ht="15.75" thickBot="1" x14ac:dyDescent="0.3">
      <c r="C49" s="99" t="b">
        <v>0</v>
      </c>
      <c r="D49" s="94" t="s">
        <v>192</v>
      </c>
      <c r="E49" s="94"/>
    </row>
    <row r="50" spans="2:17" ht="15.75" thickBot="1" x14ac:dyDescent="0.3">
      <c r="C50" s="94"/>
      <c r="D50" s="94"/>
      <c r="E50" s="94"/>
    </row>
    <row r="51" spans="2:17" ht="15.75" thickBot="1" x14ac:dyDescent="0.3">
      <c r="B51" s="94"/>
      <c r="C51" s="99" t="b">
        <v>1</v>
      </c>
      <c r="D51" s="97" t="s">
        <v>193</v>
      </c>
      <c r="E51" s="94"/>
    </row>
    <row r="52" spans="2:17" x14ac:dyDescent="0.25">
      <c r="B52" s="94"/>
      <c r="C52" s="94"/>
      <c r="D52" s="94" t="s">
        <v>129</v>
      </c>
      <c r="E52" s="94"/>
    </row>
    <row r="53" spans="2:17" ht="15.75" thickBot="1" x14ac:dyDescent="0.3"/>
    <row r="54" spans="2:17" s="101" customFormat="1" ht="15.75" thickBot="1" x14ac:dyDescent="0.3">
      <c r="C54" s="157" t="b">
        <v>1</v>
      </c>
      <c r="D54" s="101" t="s">
        <v>212</v>
      </c>
      <c r="E54" s="98"/>
    </row>
    <row r="55" spans="2:17" s="101" customFormat="1" x14ac:dyDescent="0.25">
      <c r="D55" s="101" t="s">
        <v>204</v>
      </c>
      <c r="E55" s="98"/>
    </row>
    <row r="56" spans="2:17" s="101" customFormat="1" ht="15.75" thickBot="1" x14ac:dyDescent="0.3">
      <c r="F56" s="93"/>
    </row>
    <row r="57" spans="2:17" s="101" customFormat="1" ht="15.75" thickBot="1" x14ac:dyDescent="0.3">
      <c r="C57" s="157" t="b">
        <v>0</v>
      </c>
      <c r="D57" s="97" t="s">
        <v>213</v>
      </c>
      <c r="E57" s="98"/>
    </row>
    <row r="58" spans="2:17" s="101" customFormat="1" x14ac:dyDescent="0.25">
      <c r="D58" s="101" t="s">
        <v>205</v>
      </c>
      <c r="E58" s="98"/>
    </row>
    <row r="59" spans="2:17" ht="15.75" thickBot="1" x14ac:dyDescent="0.3"/>
    <row r="60" spans="2:17" s="101" customFormat="1" ht="15.75" thickBot="1" x14ac:dyDescent="0.3">
      <c r="C60" s="157" t="b">
        <v>1</v>
      </c>
      <c r="D60" s="97" t="s">
        <v>214</v>
      </c>
      <c r="E60" s="98"/>
    </row>
    <row r="61" spans="2:17" s="101" customFormat="1" x14ac:dyDescent="0.25">
      <c r="D61" s="101" t="s">
        <v>215</v>
      </c>
      <c r="E61" s="98"/>
    </row>
    <row r="62" spans="2:17" ht="15.75" thickBot="1" x14ac:dyDescent="0.3">
      <c r="B62" s="1"/>
      <c r="C62" s="1"/>
      <c r="D62" s="1"/>
      <c r="E62" s="1"/>
      <c r="F62" s="159"/>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A2" workbookViewId="0">
      <selection activeCell="E24" sqref="E24"/>
    </sheetView>
  </sheetViews>
  <sheetFormatPr defaultRowHeight="15" x14ac:dyDescent="0.25"/>
  <sheetData>
    <row r="2" spans="2:3" ht="21" x14ac:dyDescent="0.4">
      <c r="B2" s="105" t="s">
        <v>194</v>
      </c>
      <c r="C2" s="101"/>
    </row>
    <row r="3" spans="2:3" thickBot="1" x14ac:dyDescent="0.35">
      <c r="B3" s="101"/>
      <c r="C3" s="101"/>
    </row>
    <row r="4" spans="2:3" ht="14.45" x14ac:dyDescent="0.3">
      <c r="B4" s="106">
        <v>1</v>
      </c>
      <c r="C4" s="102" t="str">
        <f>'MC-TF - 20 Pts'!C6</f>
        <v>B</v>
      </c>
    </row>
    <row r="5" spans="2:3" ht="14.45" x14ac:dyDescent="0.3">
      <c r="B5" s="107">
        <v>2</v>
      </c>
      <c r="C5" s="103" t="str">
        <f>'MC-TF - 20 Pts'!C14</f>
        <v>C</v>
      </c>
    </row>
    <row r="6" spans="2:3" thickBot="1" x14ac:dyDescent="0.35">
      <c r="B6" s="108">
        <v>3</v>
      </c>
      <c r="C6" s="104" t="str">
        <f>'MC-TF - 20 Pts'!C22</f>
        <v>C</v>
      </c>
    </row>
    <row r="7" spans="2:3" ht="14.45" x14ac:dyDescent="0.3">
      <c r="B7" s="110">
        <v>4</v>
      </c>
      <c r="C7" s="109" t="b">
        <f>'MC-TF - 20 Pts'!C32</f>
        <v>0</v>
      </c>
    </row>
    <row r="8" spans="2:3" ht="14.45" x14ac:dyDescent="0.3">
      <c r="B8" s="107">
        <v>5</v>
      </c>
      <c r="C8" s="109" t="b">
        <f>'MC-TF - 20 Pts'!C34</f>
        <v>1</v>
      </c>
    </row>
    <row r="9" spans="2:3" ht="14.45" x14ac:dyDescent="0.3">
      <c r="B9" s="107">
        <v>6</v>
      </c>
      <c r="C9" s="109" t="b">
        <f>'MC-TF - 20 Pts'!C37</f>
        <v>1</v>
      </c>
    </row>
    <row r="10" spans="2:3" ht="14.45" x14ac:dyDescent="0.3">
      <c r="B10" s="107">
        <v>7</v>
      </c>
      <c r="C10" s="103" t="b">
        <f>'MC-TF - 20 Pts'!C39</f>
        <v>0</v>
      </c>
    </row>
    <row r="11" spans="2:3" ht="14.45" x14ac:dyDescent="0.3">
      <c r="B11" s="107">
        <v>8</v>
      </c>
      <c r="C11" s="103" t="b">
        <f>'MC-TF - 20 Pts'!C42</f>
        <v>0</v>
      </c>
    </row>
    <row r="12" spans="2:3" ht="14.45" x14ac:dyDescent="0.3">
      <c r="B12" s="107">
        <v>9</v>
      </c>
      <c r="C12" s="103" t="b">
        <f>'MC-TF - 20 Pts'!C45</f>
        <v>0</v>
      </c>
    </row>
    <row r="13" spans="2:3" ht="14.45" x14ac:dyDescent="0.3">
      <c r="B13" s="107">
        <v>10</v>
      </c>
      <c r="C13" s="103" t="b">
        <f>'MC-TF - 20 Pts'!C47</f>
        <v>0</v>
      </c>
    </row>
    <row r="14" spans="2:3" x14ac:dyDescent="0.25">
      <c r="B14" s="107">
        <v>11</v>
      </c>
      <c r="C14" s="103" t="b">
        <f>'MC-TF - 20 Pts'!C49</f>
        <v>0</v>
      </c>
    </row>
    <row r="15" spans="2:3" x14ac:dyDescent="0.25">
      <c r="B15" s="107">
        <v>12</v>
      </c>
      <c r="C15" s="103" t="b">
        <f>'MC-TF - 20 Pts'!C51</f>
        <v>1</v>
      </c>
    </row>
    <row r="16" spans="2:3" x14ac:dyDescent="0.25">
      <c r="B16" s="107">
        <v>13</v>
      </c>
      <c r="C16" s="103" t="b">
        <f>'MC-TF - 20 Pts'!C54</f>
        <v>1</v>
      </c>
    </row>
    <row r="17" spans="2:3" x14ac:dyDescent="0.25">
      <c r="B17" s="107">
        <v>14</v>
      </c>
      <c r="C17" s="103" t="b">
        <f>'MC-TF - 20 Pts'!C57</f>
        <v>0</v>
      </c>
    </row>
    <row r="18" spans="2:3" ht="15.75" thickBot="1" x14ac:dyDescent="0.3">
      <c r="B18" s="108">
        <v>15</v>
      </c>
      <c r="C18" s="100"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2013-09-30T20:33:28Z</cp:lastPrinted>
  <dcterms:created xsi:type="dcterms:W3CDTF">2010-01-07T16:00:30Z</dcterms:created>
  <dcterms:modified xsi:type="dcterms:W3CDTF">2014-06-10T02:24:01Z</dcterms:modified>
</cp:coreProperties>
</file>