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516" yWindow="84" windowWidth="20124" windowHeight="7980" tabRatio="681" activeTab="3"/>
  </bookViews>
  <sheets>
    <sheet name="INSTRUCTIONS" sheetId="6" r:id="rId1"/>
    <sheet name="P1 - 25 Pts" sheetId="2" r:id="rId2"/>
    <sheet name="P2 - 5 Pts" sheetId="10" r:id="rId3"/>
    <sheet name="P3 - 15 Pts" sheetId="11" r:id="rId4"/>
    <sheet name="P4 - 20 Pts" sheetId="1" r:id="rId5"/>
    <sheet name="P5 - 15 Pts" sheetId="5" r:id="rId6"/>
    <sheet name="MC-TF - 20 Pts" sheetId="13" r:id="rId7"/>
  </sheets>
  <definedNames>
    <definedName name="Periods">'P1 - 25 Pts'!$O$21</definedName>
    <definedName name="_xlnm.Print_Area" localSheetId="5">'P5 - 15 Pts'!$B$35:$F$73</definedName>
    <definedName name="Rate">'P1 - 25 Pts'!$F$23</definedName>
    <definedName name="Term">'P1 - 25 Pts'!$F$22</definedName>
  </definedNames>
  <calcPr calcId="145621"/>
</workbook>
</file>

<file path=xl/calcChain.xml><?xml version="1.0" encoding="utf-8"?>
<calcChain xmlns="http://schemas.openxmlformats.org/spreadsheetml/2006/main">
  <c r="D34" i="1" l="1"/>
  <c r="B69" i="13" l="1"/>
  <c r="B68" i="13"/>
  <c r="B67" i="13"/>
  <c r="B66" i="13"/>
  <c r="B65" i="13"/>
  <c r="B64" i="13"/>
  <c r="H40" i="13"/>
  <c r="K27" i="13"/>
  <c r="I29" i="13" s="1"/>
  <c r="J25" i="11"/>
  <c r="J24" i="11"/>
  <c r="P23" i="11"/>
  <c r="I22" i="13" l="1"/>
  <c r="I26" i="13"/>
  <c r="I24" i="13"/>
  <c r="I21" i="13"/>
  <c r="I25" i="13"/>
  <c r="I23" i="13"/>
  <c r="I27" i="13"/>
  <c r="I20" i="13"/>
  <c r="I19" i="13"/>
  <c r="J19" i="13" s="1"/>
  <c r="J27" i="11"/>
  <c r="J29" i="11" s="1"/>
  <c r="J31" i="11" s="1"/>
  <c r="J33" i="11" s="1"/>
  <c r="B63" i="13"/>
  <c r="B62" i="13"/>
  <c r="B61" i="13"/>
  <c r="B60" i="13"/>
  <c r="J20" i="13" l="1"/>
  <c r="J21" i="13" s="1"/>
  <c r="J22" i="13" s="1"/>
  <c r="J23" i="13" s="1"/>
  <c r="J24" i="13" s="1"/>
  <c r="J25" i="13" s="1"/>
  <c r="J26" i="13" s="1"/>
  <c r="J27" i="13" s="1"/>
  <c r="O35" i="11"/>
  <c r="O27" i="11"/>
  <c r="O30" i="11"/>
  <c r="O48" i="11"/>
  <c r="O41" i="11"/>
  <c r="O46" i="11"/>
  <c r="O43" i="11"/>
  <c r="O32" i="11"/>
  <c r="O25" i="11"/>
  <c r="O26" i="11"/>
  <c r="O47" i="11"/>
  <c r="O36" i="11"/>
  <c r="O37" i="11"/>
  <c r="O38" i="11"/>
  <c r="O31" i="11"/>
  <c r="O50" i="11"/>
  <c r="O52" i="11"/>
  <c r="O49" i="11"/>
  <c r="O24" i="11"/>
  <c r="O33" i="11"/>
  <c r="O40" i="11"/>
  <c r="O42" i="11"/>
  <c r="O39" i="11"/>
  <c r="O34" i="11"/>
  <c r="O45" i="11"/>
  <c r="O29" i="11"/>
  <c r="O44" i="11"/>
  <c r="O28" i="11"/>
  <c r="O51" i="11"/>
  <c r="E75" i="1"/>
  <c r="E63" i="1"/>
  <c r="E62" i="1"/>
  <c r="E64" i="1" s="1"/>
  <c r="E65" i="1" s="1"/>
  <c r="E66" i="1" s="1"/>
  <c r="E67" i="1" s="1"/>
  <c r="D92" i="1" l="1"/>
  <c r="F46" i="1"/>
  <c r="F45" i="1"/>
  <c r="F44" i="1"/>
  <c r="F43" i="1"/>
  <c r="E23" i="1"/>
  <c r="E24" i="1" s="1"/>
  <c r="E25" i="1" s="1"/>
  <c r="E57" i="5" l="1"/>
  <c r="D57" i="5"/>
  <c r="E54" i="5"/>
  <c r="E68" i="5"/>
  <c r="E63" i="5"/>
  <c r="E65" i="5" s="1"/>
  <c r="D68" i="5"/>
  <c r="D63" i="5"/>
  <c r="D65" i="5" s="1"/>
  <c r="D69" i="5" s="1"/>
  <c r="D54" i="5"/>
  <c r="D58" i="5" s="1"/>
  <c r="E39" i="5"/>
  <c r="E43" i="5" s="1"/>
  <c r="E45" i="5" s="1"/>
  <c r="E47" i="5" s="1"/>
  <c r="D39" i="5"/>
  <c r="D43" i="5" s="1"/>
  <c r="D45" i="5" s="1"/>
  <c r="D47" i="5" s="1"/>
  <c r="F55" i="5"/>
  <c r="I60" i="5"/>
  <c r="H60" i="5"/>
  <c r="J60" i="5" s="1"/>
  <c r="I53" i="5"/>
  <c r="H53" i="5"/>
  <c r="I52" i="5"/>
  <c r="H52" i="5"/>
  <c r="J52" i="5" s="1"/>
  <c r="F44" i="5"/>
  <c r="F42" i="5"/>
  <c r="F56" i="5" s="1"/>
  <c r="I40" i="5"/>
  <c r="H40" i="5"/>
  <c r="I38" i="5"/>
  <c r="H38" i="5"/>
  <c r="F37" i="5"/>
  <c r="F38" i="5" s="1"/>
  <c r="G19" i="10"/>
  <c r="E69" i="5" l="1"/>
  <c r="E58" i="5"/>
  <c r="J38" i="5"/>
  <c r="F39" i="5" s="1"/>
  <c r="F57" i="5"/>
  <c r="G23" i="10"/>
  <c r="G31" i="10" s="1"/>
  <c r="F60" i="5"/>
  <c r="F63" i="5" s="1"/>
  <c r="F65" i="5" s="1"/>
  <c r="J40" i="5"/>
  <c r="F40" i="5" s="1"/>
  <c r="J53" i="5"/>
  <c r="F53" i="5" s="1"/>
  <c r="F52" i="5"/>
  <c r="G30" i="2"/>
  <c r="O21" i="2"/>
  <c r="P24" i="11" l="1"/>
  <c r="D31" i="2"/>
  <c r="D35" i="2" s="1"/>
  <c r="H25" i="2"/>
  <c r="F43" i="5"/>
  <c r="F45" i="5" s="1"/>
  <c r="F54" i="5"/>
  <c r="F58" i="5" s="1"/>
  <c r="E31" i="2"/>
  <c r="D90" i="2"/>
  <c r="D89" i="2"/>
  <c r="D88" i="2"/>
  <c r="D87" i="2"/>
  <c r="D86" i="2"/>
  <c r="D85" i="2"/>
  <c r="D84" i="2"/>
  <c r="D83" i="2"/>
  <c r="D82" i="2"/>
  <c r="D81" i="2"/>
  <c r="D80" i="2"/>
  <c r="D79" i="2"/>
  <c r="P25" i="11" l="1"/>
  <c r="P26" i="11" s="1"/>
  <c r="P27" i="11" s="1"/>
  <c r="P28" i="11" s="1"/>
  <c r="P29" i="11" s="1"/>
  <c r="P30" i="11" s="1"/>
  <c r="P31" i="11" s="1"/>
  <c r="P32" i="11" s="1"/>
  <c r="P33" i="11" s="1"/>
  <c r="P34" i="11" s="1"/>
  <c r="P35" i="11" s="1"/>
  <c r="P36" i="11" s="1"/>
  <c r="P37" i="11" s="1"/>
  <c r="P38" i="11" s="1"/>
  <c r="P39" i="11" s="1"/>
  <c r="P40" i="11" s="1"/>
  <c r="P41" i="11" s="1"/>
  <c r="P42" i="11" s="1"/>
  <c r="P43" i="11" s="1"/>
  <c r="P44" i="11" s="1"/>
  <c r="P45" i="11" s="1"/>
  <c r="P46" i="11" s="1"/>
  <c r="P47" i="11" s="1"/>
  <c r="P48" i="11" s="1"/>
  <c r="P49" i="11" s="1"/>
  <c r="P50" i="11" s="1"/>
  <c r="P51" i="11" s="1"/>
  <c r="P52" i="11" s="1"/>
  <c r="P53" i="11" s="1"/>
  <c r="P54" i="11" s="1"/>
  <c r="P55" i="11" s="1"/>
  <c r="P56" i="11" s="1"/>
  <c r="P57" i="11" s="1"/>
  <c r="P58" i="11" s="1"/>
  <c r="P59" i="11" s="1"/>
  <c r="P60" i="11" s="1"/>
  <c r="P61" i="11" s="1"/>
  <c r="P62" i="11" s="1"/>
  <c r="P63" i="11" s="1"/>
  <c r="P64" i="11" s="1"/>
  <c r="P65" i="11" s="1"/>
  <c r="P66" i="11" s="1"/>
  <c r="P67" i="11" s="1"/>
  <c r="P68" i="11" s="1"/>
  <c r="P69" i="11" s="1"/>
  <c r="P70" i="11" s="1"/>
  <c r="P71" i="11" s="1"/>
  <c r="P72" i="11" s="1"/>
  <c r="P73" i="11" s="1"/>
  <c r="P74" i="11" s="1"/>
  <c r="P75" i="11" s="1"/>
  <c r="P76" i="11" s="1"/>
  <c r="P77" i="11" s="1"/>
  <c r="D67" i="2"/>
  <c r="D75" i="2"/>
  <c r="D70" i="2"/>
  <c r="D74" i="2"/>
  <c r="D78" i="2"/>
  <c r="D68" i="2"/>
  <c r="D72" i="2"/>
  <c r="D76" i="2"/>
  <c r="D71" i="2"/>
  <c r="D69" i="2"/>
  <c r="D73" i="2"/>
  <c r="D77" i="2"/>
  <c r="H22" i="2"/>
  <c r="D39" i="2"/>
  <c r="D43" i="2"/>
  <c r="D47" i="2"/>
  <c r="D34" i="2"/>
  <c r="D33" i="2"/>
  <c r="D52" i="2"/>
  <c r="D56" i="2"/>
  <c r="D60" i="2"/>
  <c r="D64" i="2"/>
  <c r="D40" i="2"/>
  <c r="D44" i="2"/>
  <c r="D48" i="2"/>
  <c r="D38" i="2"/>
  <c r="D36" i="2"/>
  <c r="D53" i="2"/>
  <c r="D57" i="2"/>
  <c r="D61" i="2"/>
  <c r="D65" i="2"/>
  <c r="D41" i="2"/>
  <c r="D45" i="2"/>
  <c r="D49" i="2"/>
  <c r="F31" i="2"/>
  <c r="G31" i="2" s="1"/>
  <c r="E32" i="2" s="1"/>
  <c r="D32" i="2"/>
  <c r="D54" i="2"/>
  <c r="D58" i="2"/>
  <c r="D62" i="2"/>
  <c r="D66" i="2"/>
  <c r="D42" i="2"/>
  <c r="D46" i="2"/>
  <c r="D50" i="2"/>
  <c r="D37" i="2"/>
  <c r="D51" i="2"/>
  <c r="D55" i="2"/>
  <c r="D59" i="2"/>
  <c r="D63" i="2"/>
  <c r="F46" i="5"/>
  <c r="F47" i="5" s="1"/>
  <c r="F67" i="5" s="1"/>
  <c r="F68" i="5" s="1"/>
  <c r="F69" i="5" s="1"/>
  <c r="F72" i="5" s="1"/>
  <c r="F32" i="2" l="1"/>
  <c r="G32" i="2" s="1"/>
  <c r="E33" i="2" s="1"/>
  <c r="F33" i="2" s="1"/>
  <c r="G33" i="2" s="1"/>
  <c r="E34" i="2" s="1"/>
  <c r="F34" i="2" s="1"/>
  <c r="G34" i="2" s="1"/>
  <c r="E35" i="2" s="1"/>
  <c r="F35" i="2" s="1"/>
  <c r="G35" i="2" s="1"/>
  <c r="E36" i="2" s="1"/>
  <c r="F36" i="2" s="1"/>
  <c r="G36" i="2" s="1"/>
  <c r="E37" i="2" l="1"/>
  <c r="F37" i="2" s="1"/>
  <c r="G37" i="2" s="1"/>
  <c r="E38" i="2" l="1"/>
  <c r="F38" i="2" s="1"/>
  <c r="G38" i="2" s="1"/>
  <c r="E39" i="2" l="1"/>
  <c r="F39" i="2" s="1"/>
  <c r="G39" i="2" s="1"/>
  <c r="E40" i="2" l="1"/>
  <c r="F40" i="2" s="1"/>
  <c r="G40" i="2" s="1"/>
  <c r="E41" i="2" l="1"/>
  <c r="F41" i="2" s="1"/>
  <c r="G41" i="2" s="1"/>
  <c r="E42" i="2" l="1"/>
  <c r="F42" i="2" s="1"/>
  <c r="G42" i="2" s="1"/>
  <c r="E43" i="2" l="1"/>
  <c r="F43" i="2" s="1"/>
  <c r="G43" i="2" s="1"/>
  <c r="E44" i="2" l="1"/>
  <c r="F44" i="2" s="1"/>
  <c r="G44" i="2" s="1"/>
  <c r="E45" i="2" l="1"/>
  <c r="F45" i="2" s="1"/>
  <c r="G45" i="2" s="1"/>
  <c r="E46" i="2" l="1"/>
  <c r="F46" i="2" s="1"/>
  <c r="G46" i="2" s="1"/>
  <c r="E47" i="2" l="1"/>
  <c r="F47" i="2" s="1"/>
  <c r="G47" i="2" s="1"/>
  <c r="E48" i="2" l="1"/>
  <c r="F48" i="2" s="1"/>
  <c r="G48" i="2" s="1"/>
  <c r="E49" i="2" l="1"/>
  <c r="F49" i="2" s="1"/>
  <c r="G49" i="2" s="1"/>
  <c r="E50" i="2" l="1"/>
  <c r="F50" i="2" s="1"/>
  <c r="G50" i="2" s="1"/>
  <c r="E51" i="2" l="1"/>
  <c r="F51" i="2" s="1"/>
  <c r="G51" i="2" s="1"/>
  <c r="E52" i="2" l="1"/>
  <c r="F52" i="2" s="1"/>
  <c r="G52" i="2" s="1"/>
  <c r="E53" i="2" l="1"/>
  <c r="F53" i="2" s="1"/>
  <c r="G53" i="2" s="1"/>
  <c r="E54" i="2" l="1"/>
  <c r="F54" i="2" s="1"/>
  <c r="G54" i="2" s="1"/>
  <c r="E55" i="2" l="1"/>
  <c r="F55" i="2" s="1"/>
  <c r="G55" i="2" s="1"/>
  <c r="E56" i="2" l="1"/>
  <c r="F56" i="2" s="1"/>
  <c r="G56" i="2" s="1"/>
  <c r="E57" i="2" l="1"/>
  <c r="F57" i="2" s="1"/>
  <c r="G57" i="2" s="1"/>
  <c r="E58" i="2" l="1"/>
  <c r="F58" i="2" s="1"/>
  <c r="G58" i="2" s="1"/>
  <c r="E59" i="2" l="1"/>
  <c r="F59" i="2" s="1"/>
  <c r="G59" i="2" s="1"/>
  <c r="E60" i="2" l="1"/>
  <c r="F60" i="2" s="1"/>
  <c r="G60" i="2" s="1"/>
  <c r="E61" i="2" l="1"/>
  <c r="F61" i="2" s="1"/>
  <c r="G61" i="2" s="1"/>
  <c r="E62" i="2" l="1"/>
  <c r="F62" i="2" s="1"/>
  <c r="G62" i="2" s="1"/>
  <c r="E63" i="2" l="1"/>
  <c r="F63" i="2" s="1"/>
  <c r="G63" i="2" s="1"/>
  <c r="E64" i="2" l="1"/>
  <c r="F64" i="2" s="1"/>
  <c r="G64" i="2" s="1"/>
  <c r="E65" i="2" l="1"/>
  <c r="F65" i="2" s="1"/>
  <c r="G65" i="2" s="1"/>
  <c r="E66" i="2" l="1"/>
  <c r="F66" i="2" s="1"/>
  <c r="G66" i="2" s="1"/>
  <c r="E67" i="2" l="1"/>
  <c r="F67" i="2" s="1"/>
  <c r="G67" i="2" s="1"/>
  <c r="E68" i="2" l="1"/>
  <c r="F68" i="2" s="1"/>
  <c r="G68" i="2" s="1"/>
  <c r="E69" i="2" l="1"/>
  <c r="F69" i="2" s="1"/>
  <c r="G69" i="2" s="1"/>
  <c r="E70" i="2" l="1"/>
  <c r="F70" i="2" s="1"/>
  <c r="G70" i="2" s="1"/>
  <c r="E71" i="2" l="1"/>
  <c r="F71" i="2" s="1"/>
  <c r="G71" i="2" s="1"/>
  <c r="E72" i="2" l="1"/>
  <c r="F72" i="2" s="1"/>
  <c r="G72" i="2" s="1"/>
  <c r="E73" i="2" l="1"/>
  <c r="F73" i="2" s="1"/>
  <c r="G73" i="2" s="1"/>
  <c r="E74" i="2" l="1"/>
  <c r="F74" i="2" s="1"/>
  <c r="G74" i="2" s="1"/>
  <c r="E75" i="2" l="1"/>
  <c r="F75" i="2" s="1"/>
  <c r="G75" i="2" s="1"/>
  <c r="E76" i="2" l="1"/>
  <c r="F76" i="2" s="1"/>
  <c r="G76" i="2" s="1"/>
  <c r="E77" i="2" l="1"/>
  <c r="F77" i="2" s="1"/>
  <c r="G77" i="2" s="1"/>
  <c r="E78" i="2" l="1"/>
  <c r="F78" i="2" s="1"/>
  <c r="G78" i="2" s="1"/>
  <c r="E79" i="2" l="1"/>
  <c r="F79" i="2" s="1"/>
  <c r="G79" i="2" s="1"/>
  <c r="E80" i="2" l="1"/>
  <c r="F80" i="2" s="1"/>
  <c r="G80" i="2" s="1"/>
  <c r="E81" i="2" l="1"/>
  <c r="F81" i="2" s="1"/>
  <c r="G81" i="2" s="1"/>
  <c r="E82" i="2" l="1"/>
  <c r="F82" i="2" s="1"/>
  <c r="G82" i="2" s="1"/>
  <c r="E83" i="2" l="1"/>
  <c r="F83" i="2" s="1"/>
  <c r="G83" i="2" s="1"/>
  <c r="E84" i="2" l="1"/>
  <c r="F84" i="2" s="1"/>
  <c r="G84" i="2" s="1"/>
  <c r="E85" i="2" l="1"/>
  <c r="F85" i="2" s="1"/>
  <c r="G85" i="2" s="1"/>
  <c r="E86" i="2" l="1"/>
  <c r="F86" i="2" s="1"/>
  <c r="G86" i="2" s="1"/>
  <c r="E87" i="2" l="1"/>
  <c r="F87" i="2" s="1"/>
  <c r="G87" i="2" s="1"/>
  <c r="E88" i="2" l="1"/>
  <c r="F88" i="2" s="1"/>
  <c r="G88" i="2" s="1"/>
  <c r="E89" i="2" l="1"/>
  <c r="F89" i="2" s="1"/>
  <c r="G89" i="2" s="1"/>
  <c r="E90" i="2" l="1"/>
  <c r="F90" i="2" s="1"/>
  <c r="G90" i="2" s="1"/>
</calcChain>
</file>

<file path=xl/sharedStrings.xml><?xml version="1.0" encoding="utf-8"?>
<sst xmlns="http://schemas.openxmlformats.org/spreadsheetml/2006/main" count="324" uniqueCount="288">
  <si>
    <t>1.</t>
  </si>
  <si>
    <t>2.</t>
  </si>
  <si>
    <t>Consider the following annual cash flows, each to be received at the end of</t>
  </si>
  <si>
    <t>Year</t>
  </si>
  <si>
    <t>Payment</t>
  </si>
  <si>
    <t xml:space="preserve"> &lt;-- Input</t>
  </si>
  <si>
    <t>3.</t>
  </si>
  <si>
    <t>4.</t>
  </si>
  <si>
    <t>Amount of Loan:</t>
  </si>
  <si>
    <t>Annual Interest Rate on Loan:</t>
  </si>
  <si>
    <t>Balloon Payment</t>
  </si>
  <si>
    <t>Payment
Number</t>
  </si>
  <si>
    <t>Interest</t>
  </si>
  <si>
    <t>Principal</t>
  </si>
  <si>
    <t>Balance</t>
  </si>
  <si>
    <t xml:space="preserve"> </t>
  </si>
  <si>
    <t>Annual Interest Rate</t>
  </si>
  <si>
    <t>Sales</t>
  </si>
  <si>
    <t>CGS</t>
  </si>
  <si>
    <t>Net Income</t>
  </si>
  <si>
    <t xml:space="preserve">In the yellow cell below, create ONE formula that will return </t>
  </si>
  <si>
    <t>Input Cell for Year</t>
  </si>
  <si>
    <t>Income Statement</t>
  </si>
  <si>
    <t>2010</t>
  </si>
  <si>
    <t>Cost of Goods Sold</t>
  </si>
  <si>
    <t>Gross Profit</t>
  </si>
  <si>
    <t>Selling and G&amp;A Expenses</t>
  </si>
  <si>
    <t>Fixed Expenses</t>
  </si>
  <si>
    <t>Depreciation Expense</t>
  </si>
  <si>
    <t>EBIT</t>
  </si>
  <si>
    <t>Interest Expense</t>
  </si>
  <si>
    <t>Earnings Before Taxes</t>
  </si>
  <si>
    <t>Taxes</t>
  </si>
  <si>
    <t>Balance Sheet</t>
  </si>
  <si>
    <t>Assets</t>
  </si>
  <si>
    <t xml:space="preserve">        Cash and Equivalents</t>
  </si>
  <si>
    <t xml:space="preserve">        Accounts Receivable</t>
  </si>
  <si>
    <t xml:space="preserve">        Inventory</t>
  </si>
  <si>
    <t>Total Current Assets</t>
  </si>
  <si>
    <t xml:space="preserve">        Plant &amp; Equipment</t>
  </si>
  <si>
    <t xml:space="preserve">        Accumulated Depreciation</t>
  </si>
  <si>
    <t>Net Fixed Assets</t>
  </si>
  <si>
    <t>Total Assets</t>
  </si>
  <si>
    <t>Liabilities and Owner's Equity</t>
  </si>
  <si>
    <t xml:space="preserve">        Accounts Payable</t>
  </si>
  <si>
    <t xml:space="preserve">        Short-term Notes Payable</t>
  </si>
  <si>
    <t xml:space="preserve">        Other Current Liabilities</t>
  </si>
  <si>
    <t>Total Current Liabilities</t>
  </si>
  <si>
    <t xml:space="preserve">        Long-term Debt</t>
  </si>
  <si>
    <t>Total Liabilities</t>
  </si>
  <si>
    <t xml:space="preserve">        Common Stock</t>
  </si>
  <si>
    <t xml:space="preserve">        Retained Earnings</t>
  </si>
  <si>
    <t>Total Shareholder's Equity</t>
  </si>
  <si>
    <t>Total Liabilities and Owner's Equity</t>
  </si>
  <si>
    <t xml:space="preserve">IMPORTANT: SAVE THIS SPREADSHEET TO THE DESKTOP OF THE </t>
  </si>
  <si>
    <t>NOTHING SHOULD BE USED OR ACCESSED BY YOU DURING THIS</t>
  </si>
  <si>
    <t>VIDEO SURVEILLANCE IS ACTIVE.</t>
  </si>
  <si>
    <t>Points are shown on each tab. Partial credit will be given where possible.</t>
  </si>
  <si>
    <t>Interest Rate on Long Term Debt</t>
  </si>
  <si>
    <t>Interest Rate on Short Term Notes Payable</t>
  </si>
  <si>
    <t>INPUTS</t>
  </si>
  <si>
    <t>RESAVE IT OFTEN WHILE YOU ARE WORKING ON IT.</t>
  </si>
  <si>
    <t>Payment Frequency</t>
  </si>
  <si>
    <t>INPUTS:</t>
  </si>
  <si>
    <t>Loan Amount</t>
  </si>
  <si>
    <t>Term in Years</t>
  </si>
  <si>
    <t>Supplemental Monthly Payment</t>
  </si>
  <si>
    <t xml:space="preserve">  off the loan with the regular and </t>
  </si>
  <si>
    <t>Difference between the total dollar</t>
  </si>
  <si>
    <t xml:space="preserve">  amount of interest paid over this life</t>
  </si>
  <si>
    <t xml:space="preserve">  of the loan with the regular payment</t>
  </si>
  <si>
    <t xml:space="preserve">  and the dollar amount of interest that</t>
  </si>
  <si>
    <t xml:space="preserve">  will be paid over the life of the loan if </t>
  </si>
  <si>
    <t xml:space="preserve">  the regular and supplemental payments</t>
  </si>
  <si>
    <t xml:space="preserve">  are made every month.</t>
  </si>
  <si>
    <t>COMPUTER YOU ARE USING WITH YOUR NAME IN THE FILENAME.</t>
  </si>
  <si>
    <t>When you have completed this exam spreadsheet:</t>
  </si>
  <si>
    <t>Save it one last time to the desktop of your computer.</t>
  </si>
  <si>
    <t>Consider the following cash flow timeline:</t>
  </si>
  <si>
    <t>represented by $X in the timeline, are all identical amounts. In the space below,</t>
  </si>
  <si>
    <t>Annual</t>
  </si>
  <si>
    <t>Quarterly</t>
  </si>
  <si>
    <t>Monthly</t>
  </si>
  <si>
    <t>Term of Loan in Years</t>
  </si>
  <si>
    <t>Number of payments needed to pay</t>
  </si>
  <si>
    <t>Required regular payment on the loan</t>
  </si>
  <si>
    <t>not including the supplemental payment</t>
  </si>
  <si>
    <t xml:space="preserve">   supplemental payments made every month</t>
  </si>
  <si>
    <t xml:space="preserve">create whatever formulas are needed to find the value of $X. There are no inputs so you can </t>
  </si>
  <si>
    <t>Total Interest Paid</t>
  </si>
  <si>
    <t>Effective Annual</t>
  </si>
  <si>
    <t xml:space="preserve">  Interest Rate </t>
  </si>
  <si>
    <t xml:space="preserve">  over life of loan</t>
  </si>
  <si>
    <t>Time</t>
  </si>
  <si>
    <t xml:space="preserve">a year, that represent an investment opportunity. The investment will pay nothing </t>
  </si>
  <si>
    <t>Required Rate of Return</t>
  </si>
  <si>
    <t>In the yellow cell below, create ONE formula that computes the maximum amount you</t>
  </si>
  <si>
    <t>would be willing to pay for the investment given the inputs. All computations must</t>
  </si>
  <si>
    <t>Answer:</t>
  </si>
  <si>
    <t>Total PV at t=0 of known CFs</t>
  </si>
  <si>
    <t>PV at t=0 of unknowns</t>
  </si>
  <si>
    <t>Value of X's</t>
  </si>
  <si>
    <t>given in the input cell. [3 Points]</t>
  </si>
  <si>
    <t>Points as marked for each question.</t>
  </si>
  <si>
    <t>2011</t>
  </si>
  <si>
    <t xml:space="preserve">some other amount in the final year. </t>
  </si>
  <si>
    <t>YOU MAY NOT ACCESS THE INTERNET WHILE COMPLETING THIS EXAM.</t>
  </si>
  <si>
    <t>YOU MAY NOT ACCESS ANY PROGRAM ON YOUR COMPUTER OTHER THAN EXCEL</t>
  </si>
  <si>
    <t>SAVE THIS FILE BACK TO YOUR DESKTOP WITH YOUR NAME IN THE FILENAME.</t>
  </si>
  <si>
    <t>RESAVE IT OFTEN WHILE YOU ARE COMPLETING IT.</t>
  </si>
  <si>
    <t>Close Excel</t>
  </si>
  <si>
    <t xml:space="preserve">You are planning for your retirement. Your goal is to accumulate enough money in </t>
  </si>
  <si>
    <t>Ignore taxes. Lable your computation steps to enable partial credit. Your formulas should work</t>
  </si>
  <si>
    <t>for any positive value of the input interest rate.</t>
  </si>
  <si>
    <t>Average annual interest rate earned on the account:</t>
  </si>
  <si>
    <t>Computations</t>
  </si>
  <si>
    <t>#1</t>
  </si>
  <si>
    <t>#2</t>
  </si>
  <si>
    <t>#3</t>
  </si>
  <si>
    <r>
      <t xml:space="preserve">be done in that one formula. </t>
    </r>
    <r>
      <rPr>
        <b/>
        <sz val="11"/>
        <color rgb="FFFF0000"/>
        <rFont val="Calibri"/>
        <family val="2"/>
        <scheme val="minor"/>
      </rPr>
      <t xml:space="preserve">DO NOT use the NPV function. </t>
    </r>
    <r>
      <rPr>
        <b/>
        <sz val="11"/>
        <color theme="1" tint="4.9989318521683403E-2"/>
        <rFont val="Calibri"/>
        <family val="2"/>
        <scheme val="minor"/>
      </rPr>
      <t>[ 4 Points ]</t>
    </r>
  </si>
  <si>
    <t xml:space="preserve">Create the necessary formulas in the yellow cells to compute the effective annual </t>
  </si>
  <si>
    <t>interest rates for the input nominal annual rate given the listed compounding periods.</t>
  </si>
  <si>
    <t>Nominal Annual Interest Rate (Input)</t>
  </si>
  <si>
    <t xml:space="preserve">Compounding
</t>
  </si>
  <si>
    <t>Effective
Annual
Rate</t>
  </si>
  <si>
    <t>Daily</t>
  </si>
  <si>
    <t>Continuous</t>
  </si>
  <si>
    <t>WHILE TAKING THIS EXAM. YOU MAY ACCESS EXCEL'S INTERNAL HELP SYSTEM.</t>
  </si>
  <si>
    <t>There are 7 tabbed pages in this exam spreadsheet including this one.</t>
  </si>
  <si>
    <t>The last tab contains multiple choice and true/false questions that count for</t>
  </si>
  <si>
    <t>Tell your proctor that you have finished.</t>
  </si>
  <si>
    <t>-2 Points for each incorrect answer.</t>
  </si>
  <si>
    <t>For True/False questions, enter TRUE or FALSE in the yellow cell.</t>
  </si>
  <si>
    <t>For multiple choice questions, enter the letter of the best reponse in the yellow cell.</t>
  </si>
  <si>
    <t>5.</t>
  </si>
  <si>
    <t>6.</t>
  </si>
  <si>
    <t>A.</t>
  </si>
  <si>
    <t>B.</t>
  </si>
  <si>
    <t>C.</t>
  </si>
  <si>
    <t>D.</t>
  </si>
  <si>
    <t>E.</t>
  </si>
  <si>
    <t>7.</t>
  </si>
  <si>
    <t>It will increase.</t>
  </si>
  <si>
    <t>It will remain unchanged.</t>
  </si>
  <si>
    <t>It will decrease.</t>
  </si>
  <si>
    <t>Two of the above.</t>
  </si>
  <si>
    <t>None of the above.</t>
  </si>
  <si>
    <t>8.</t>
  </si>
  <si>
    <t>9.</t>
  </si>
  <si>
    <t>10.</t>
  </si>
  <si>
    <t>D</t>
  </si>
  <si>
    <t>DO NOT CHANGE ANYTHING BELOW THIS LINE</t>
  </si>
  <si>
    <t>Deposit 1</t>
  </si>
  <si>
    <t>Deposit 2</t>
  </si>
  <si>
    <t>Deposit 3</t>
  </si>
  <si>
    <t>Deposit 4</t>
  </si>
  <si>
    <t>Deposit 5</t>
  </si>
  <si>
    <t>Deposit 6</t>
  </si>
  <si>
    <t>Deposit 7</t>
  </si>
  <si>
    <t>Deposit 8</t>
  </si>
  <si>
    <t>Deposit 9</t>
  </si>
  <si>
    <t>Deposit 10</t>
  </si>
  <si>
    <t>Deposit 11</t>
  </si>
  <si>
    <t>Deposit 12</t>
  </si>
  <si>
    <t>Deposit 13</t>
  </si>
  <si>
    <t>Deposit 14</t>
  </si>
  <si>
    <t>Deposit 15</t>
  </si>
  <si>
    <t>Deposit 16</t>
  </si>
  <si>
    <t>Deposit 17</t>
  </si>
  <si>
    <t>Deposit 18</t>
  </si>
  <si>
    <t>Deposit 19</t>
  </si>
  <si>
    <t>Deposit 20</t>
  </si>
  <si>
    <t>Deposit 21</t>
  </si>
  <si>
    <t>Deposit 22</t>
  </si>
  <si>
    <t>Deposit 23</t>
  </si>
  <si>
    <t>Deposit 24</t>
  </si>
  <si>
    <t>Deposit 25</t>
  </si>
  <si>
    <t>Deposit 26</t>
  </si>
  <si>
    <t>Deposit 27</t>
  </si>
  <si>
    <t>Deposit 28</t>
  </si>
  <si>
    <t>Deposit 29</t>
  </si>
  <si>
    <t>Deposit 30</t>
  </si>
  <si>
    <t>Withdrawal 1</t>
  </si>
  <si>
    <t>Withdrawal 2</t>
  </si>
  <si>
    <t>Withdrawal 3</t>
  </si>
  <si>
    <t>Withdrawal 4</t>
  </si>
  <si>
    <t>Withdrawal 5</t>
  </si>
  <si>
    <t>Withdrawal 6</t>
  </si>
  <si>
    <t>Withdrawal 7</t>
  </si>
  <si>
    <t>Withdrawal 8</t>
  </si>
  <si>
    <t>Withdrawal 9</t>
  </si>
  <si>
    <t>Withdrawal 10</t>
  </si>
  <si>
    <t>Withdrawal 11</t>
  </si>
  <si>
    <t>Withdrawal 12</t>
  </si>
  <si>
    <t>Withdrawal 13</t>
  </si>
  <si>
    <t>Withdrawal 14</t>
  </si>
  <si>
    <t>Withdrawal 15</t>
  </si>
  <si>
    <t>Withdrawal 16</t>
  </si>
  <si>
    <t>Withdrawal 17</t>
  </si>
  <si>
    <t>Withdrawal 18</t>
  </si>
  <si>
    <t>Withdrawal 19</t>
  </si>
  <si>
    <t>Withdrawal 20</t>
  </si>
  <si>
    <t>Cash</t>
  </si>
  <si>
    <t>Flow</t>
  </si>
  <si>
    <t>Account</t>
  </si>
  <si>
    <t>Date</t>
  </si>
  <si>
    <t>Action</t>
  </si>
  <si>
    <t>but the amount is not yet known. That is the amount you must compute.</t>
  </si>
  <si>
    <t>The average annual interest rate you expect to earn on the account is given in the green input cell below.</t>
  </si>
  <si>
    <t>In the space provided, create whatever formulas are needed to compute the dollar amount of the unknown</t>
  </si>
  <si>
    <t>annual deposits that will be needed to meet your goal.</t>
  </si>
  <si>
    <t>Subtract the first payment from #2</t>
  </si>
  <si>
    <t>Withdrawal 21</t>
  </si>
  <si>
    <t>Withdrawal 22</t>
  </si>
  <si>
    <t>Withdrawal 23</t>
  </si>
  <si>
    <t>Withdrawal 24</t>
  </si>
  <si>
    <t>Withdrawal 25</t>
  </si>
  <si>
    <t xml:space="preserve">for the first five years, but then will pay an equal amount each year for 4 years, and then </t>
  </si>
  <si>
    <t>Your formulas should work for any reasonable value of the input. [4 Points]</t>
  </si>
  <si>
    <t>PV at t=0 of CF0</t>
  </si>
  <si>
    <t>PV at t=0 of CF1-3</t>
  </si>
  <si>
    <t>PV at t=0 of CF8-9</t>
  </si>
  <si>
    <t>Value of unknowns at t=3</t>
  </si>
  <si>
    <t xml:space="preserve">the NET INCOME from the table at the right for the year </t>
  </si>
  <si>
    <t>NET INCOME</t>
  </si>
  <si>
    <t xml:space="preserve">In the green cell below, create a formula that extrapolates the linear trend from the </t>
  </si>
  <si>
    <t>6 years of sales and uses it to estimate 2011 sales. [3 Points]</t>
  </si>
  <si>
    <t>7th</t>
  </si>
  <si>
    <t>8th</t>
  </si>
  <si>
    <t>9th</t>
  </si>
  <si>
    <t>When projecting pro-forma income statements and balance sheets using the percent of sales method, which of the following are typically not assumed to maintain the same percentage ralationship to sales over time?</t>
  </si>
  <si>
    <t>Accounts receivable</t>
  </si>
  <si>
    <t>Account payable</t>
  </si>
  <si>
    <t>Inventory</t>
  </si>
  <si>
    <t>Retained Earnings on the Balance Sheet</t>
  </si>
  <si>
    <t>All of the above would typically maintain the same percentage relationship to sales.</t>
  </si>
  <si>
    <t>t</t>
  </si>
  <si>
    <t>The total present value of all 10 cash flows, including the four missing ones, is $2,000</t>
  </si>
  <si>
    <t xml:space="preserve">if the discount rate is 10% per year compounded annually. The four missing cash flows, </t>
  </si>
  <si>
    <t>hard-code the numbers in the formulas but the formulas must be shown. [ 6 Points ]</t>
  </si>
  <si>
    <t>your retirement account to:</t>
  </si>
  <si>
    <t xml:space="preserve">2. </t>
  </si>
  <si>
    <t>pay out $250,000 per year for 25 years starting on January 1, 2043.</t>
  </si>
  <si>
    <t xml:space="preserve">3. </t>
  </si>
  <si>
    <t xml:space="preserve">immediately after the 25th payout in (2) above, have $100,000 left to donate to the </t>
  </si>
  <si>
    <t>Ole Miss Business School to endow a nice scholarship.</t>
  </si>
  <si>
    <t>withdraw $150,000 on 01/01/2043 to take a nice long cruise.</t>
  </si>
  <si>
    <t xml:space="preserve">You plan to make annual deposits into your retirement account on January 1 of every year from 2013 </t>
  </si>
  <si>
    <t>Amount needed on 01/01/2043 to fund the 25 annual withdrawals</t>
  </si>
  <si>
    <t>PV of above on 01/01/2013</t>
  </si>
  <si>
    <r>
      <t>to</t>
    </r>
    <r>
      <rPr>
        <b/>
        <sz val="11"/>
        <color rgb="FFFF0000"/>
        <rFont val="Calibri"/>
        <family val="2"/>
        <scheme val="minor"/>
      </rPr>
      <t xml:space="preserve"> 2042</t>
    </r>
    <r>
      <rPr>
        <sz val="11"/>
        <color theme="1"/>
        <rFont val="Calibri"/>
        <family val="2"/>
        <scheme val="minor"/>
      </rPr>
      <t xml:space="preserve"> (30 deposits). The first deposit will be $10,000. The remaining 29 deposits will all be equal to each other, </t>
    </r>
  </si>
  <si>
    <t>#4</t>
  </si>
  <si>
    <t xml:space="preserve">Amount of each of the remaining 29 payments that would be needed </t>
  </si>
  <si>
    <t>Amount needed on 01/01/2043 to fund the $100,000 scholarship donation</t>
  </si>
  <si>
    <t>Amount needed on 01/01/2043 to fund the cruise</t>
  </si>
  <si>
    <t>Total amount needed on 01/01/2043</t>
  </si>
  <si>
    <t>Objective Section - 20 Points Possible</t>
  </si>
  <si>
    <t>A series of identical cash flows that are expected to occur at equal time periods for a specified number of periods is an annuity.  (True or false?)</t>
  </si>
  <si>
    <t>The present value of a future cash flow decreases as the real rate of interest descreases, other things equal.  (True or False?)</t>
  </si>
  <si>
    <t>The risk/return trade-off says that in order to make a higher rate of return over time you must take more risk.</t>
  </si>
  <si>
    <t>Today is your child's birthday and you have decided to start saving for her college education. She will begin college on her 18th birthday and will need $35,000 per year at the beginning of each of the four college years.You will make the first deposit today in the amount of $11,818.16 and will make identical annual deposits on every birthday up to and including her 18th birthday. If these deposits will allow you to reach your goal exactly assuming a 5% annual interest rate, which birthday are you celebrating today?</t>
  </si>
  <si>
    <t>10th</t>
  </si>
  <si>
    <t>11th</t>
  </si>
  <si>
    <t>For any positive interest rate, increasing the compounding frequency will increase to future value of an investment.  (True or false?)</t>
  </si>
  <si>
    <t>Which of the following statements is (are) true concerning the discount rate that is used to evaluate an investment opportunity?</t>
  </si>
  <si>
    <t>the appropriate discount rate increases as the risk of the investment increases.</t>
  </si>
  <si>
    <t>the appropriate discount rate increases as the average investor's risk aversion increases.</t>
  </si>
  <si>
    <t>the appropriate discount rate increases as the riskfree rate of interest increases.</t>
  </si>
  <si>
    <t>Two of the above are correct.</t>
  </si>
  <si>
    <t>A, B, and C are all correct.</t>
  </si>
  <si>
    <t>E</t>
  </si>
  <si>
    <t>Today is January 1st. You have an investment account with a current balance of $10,000. The interest rate on the account is 6.5% per year compounded continuously. Suppose you withdraw exactly $671 on Dec. 31st of each year and leave the rest of the money in the account to gain interest. If you observe the account balance on January 1st of each year, which of the following best describes the behavior of the account balance over time?</t>
  </si>
  <si>
    <t>A</t>
  </si>
  <si>
    <t>The Capital Asset Pricing Model, as represented by the Security Market Line, tells us that investments that have higher diversifiable risk will require higher expected rates of return than investments with lower diversifiable risk if rational investors would be willing to purchase the higher risk investments.  (True or false?)</t>
  </si>
  <si>
    <t>It is not possible for a stock to have a beta coefficient that isnegative. (True or False?)</t>
  </si>
  <si>
    <t>Percent Change in Sales from 2011</t>
  </si>
  <si>
    <t>Tax Rate for 2012</t>
  </si>
  <si>
    <t>Common Stock Dividend for 2012</t>
  </si>
  <si>
    <t>Expected addition to Plant and Equipment in 2012</t>
  </si>
  <si>
    <t>Additional depreciation on new Plant/Equip in 2012</t>
  </si>
  <si>
    <t>2012</t>
  </si>
  <si>
    <t>Excess/(Deficit) Financing for 2012</t>
  </si>
  <si>
    <t>TEST EXCEPT THE COMPUTER YOU ARE USING AND THIS FILE.</t>
  </si>
  <si>
    <t xml:space="preserve">THE PENALTY FOR ACADEMIC DISHONESTY IN THIS COURSE IS AN </t>
  </si>
  <si>
    <t xml:space="preserve">"F" GRADE FOR THE COURSE AND POSSIBLE EXPULSION FROM THE </t>
  </si>
  <si>
    <t>UNIVERSITY OF MISSISSIPPI.</t>
  </si>
  <si>
    <t>20 points of the 100 point total for the exam.</t>
  </si>
  <si>
    <t>MC/TF</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</si>
</sst>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_);[Red]\(&quot;$&quot;#,##0\)"/>
    <numFmt numFmtId="8" formatCode="&quot;$&quot;#,##0.00_);[Red]\(&quot;$&quot;#,##0.00\)"/>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0.000%"/>
    <numFmt numFmtId="166" formatCode="0.0%"/>
  </numFmts>
  <fonts count="18"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8"/>
      <color theme="1"/>
      <name val="Calibri"/>
      <family val="2"/>
      <scheme val="minor"/>
    </font>
    <font>
      <u val="singleAccounting"/>
      <sz val="11"/>
      <color theme="1"/>
      <name val="Calibri"/>
      <family val="2"/>
      <scheme val="minor"/>
    </font>
    <font>
      <b/>
      <u val="singleAccounting"/>
      <sz val="11"/>
      <color theme="1"/>
      <name val="Calibri"/>
      <family val="2"/>
      <scheme val="minor"/>
    </font>
    <font>
      <b/>
      <sz val="16"/>
      <color theme="1"/>
      <name val="Calibri"/>
      <family val="2"/>
      <scheme val="minor"/>
    </font>
    <font>
      <b/>
      <i/>
      <sz val="11"/>
      <name val="Times New Roman"/>
      <family val="1"/>
    </font>
    <font>
      <b/>
      <sz val="11"/>
      <name val="Times New Roman"/>
      <family val="1"/>
    </font>
    <font>
      <b/>
      <u val="singleAccounting"/>
      <sz val="11"/>
      <name val="Times New Roman"/>
      <family val="1"/>
    </font>
    <font>
      <b/>
      <sz val="14"/>
      <color rgb="FFFF0000"/>
      <name val="Calibri"/>
      <family val="2"/>
      <scheme val="minor"/>
    </font>
    <font>
      <b/>
      <sz val="11"/>
      <color rgb="FFFF0000"/>
      <name val="Calibri"/>
      <family val="2"/>
      <scheme val="minor"/>
    </font>
    <font>
      <b/>
      <i/>
      <sz val="11"/>
      <color theme="1"/>
      <name val="Calibri"/>
      <family val="2"/>
      <scheme val="minor"/>
    </font>
    <font>
      <b/>
      <sz val="12"/>
      <color rgb="FFFF0000"/>
      <name val="Calibri"/>
      <family val="2"/>
      <scheme val="minor"/>
    </font>
    <font>
      <b/>
      <sz val="11"/>
      <color theme="1" tint="4.9989318521683403E-2"/>
      <name val="Calibri"/>
      <family val="2"/>
      <scheme val="minor"/>
    </font>
    <font>
      <b/>
      <sz val="14"/>
      <color theme="1"/>
      <name val="Calibri"/>
      <family val="2"/>
      <scheme val="minor"/>
    </font>
    <font>
      <u/>
      <sz val="11"/>
      <color theme="1"/>
      <name val="Calibri"/>
      <family val="2"/>
      <scheme val="minor"/>
    </font>
  </fonts>
  <fills count="9">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theme="0"/>
        <bgColor indexed="64"/>
      </patternFill>
    </fill>
    <fill>
      <patternFill patternType="solid">
        <fgColor rgb="FF99FF99"/>
        <bgColor indexed="64"/>
      </patternFill>
    </fill>
    <fill>
      <patternFill patternType="solid">
        <fgColor rgb="FFEAEAEA"/>
        <bgColor indexed="64"/>
      </patternFill>
    </fill>
    <fill>
      <patternFill patternType="solid">
        <fgColor rgb="FF92D050"/>
        <bgColor indexed="64"/>
      </patternFill>
    </fill>
    <fill>
      <patternFill patternType="solid">
        <fgColor rgb="FF00B0F0"/>
        <bgColor indexed="64"/>
      </patternFill>
    </fill>
  </fills>
  <borders count="24">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57">
    <xf numFmtId="0" fontId="0" fillId="0" borderId="0" xfId="0"/>
    <xf numFmtId="0" fontId="4" fillId="0" borderId="0" xfId="0" applyFont="1"/>
    <xf numFmtId="6" fontId="2" fillId="0" borderId="0" xfId="0" applyNumberFormat="1" applyFont="1"/>
    <xf numFmtId="10" fontId="2" fillId="0" borderId="0" xfId="0" applyNumberFormat="1" applyFont="1"/>
    <xf numFmtId="8" fontId="0" fillId="0" borderId="0" xfId="0" applyNumberFormat="1"/>
    <xf numFmtId="44" fontId="0" fillId="2" borderId="1" xfId="2" applyFont="1" applyFill="1" applyBorder="1"/>
    <xf numFmtId="0" fontId="0" fillId="0" borderId="0" xfId="0" applyAlignment="1">
      <alignment horizontal="left" indent="3"/>
    </xf>
    <xf numFmtId="0" fontId="3" fillId="0" borderId="0" xfId="0" applyFont="1" applyAlignment="1">
      <alignment horizontal="left" indent="3"/>
    </xf>
    <xf numFmtId="0" fontId="0" fillId="0" borderId="9" xfId="0" applyBorder="1"/>
    <xf numFmtId="0" fontId="3" fillId="3" borderId="2" xfId="0" applyFont="1" applyFill="1" applyBorder="1" applyAlignment="1">
      <alignment horizontal="center" wrapText="1"/>
    </xf>
    <xf numFmtId="0" fontId="3" fillId="3" borderId="11" xfId="0" applyFont="1" applyFill="1" applyBorder="1" applyAlignment="1">
      <alignment horizontal="center" vertical="center"/>
    </xf>
    <xf numFmtId="0" fontId="3" fillId="3" borderId="3" xfId="0" applyFont="1" applyFill="1" applyBorder="1" applyAlignment="1">
      <alignment horizontal="center" vertical="center"/>
    </xf>
    <xf numFmtId="0" fontId="0" fillId="0" borderId="0" xfId="0" applyAlignment="1">
      <alignment horizontal="center"/>
    </xf>
    <xf numFmtId="43" fontId="0" fillId="0" borderId="0" xfId="1" applyFont="1"/>
    <xf numFmtId="8" fontId="0" fillId="0" borderId="0" xfId="1" applyNumberFormat="1" applyFont="1"/>
    <xf numFmtId="0" fontId="0" fillId="0" borderId="0" xfId="0" applyBorder="1"/>
    <xf numFmtId="0" fontId="3" fillId="0" borderId="0" xfId="0" applyFont="1"/>
    <xf numFmtId="0" fontId="3" fillId="0" borderId="0" xfId="0" applyFont="1" applyAlignment="1">
      <alignment horizontal="center"/>
    </xf>
    <xf numFmtId="44" fontId="6" fillId="0" borderId="0" xfId="0" applyNumberFormat="1" applyFont="1" applyAlignment="1">
      <alignment horizontal="center"/>
    </xf>
    <xf numFmtId="0" fontId="2" fillId="0" borderId="1" xfId="0" applyFont="1" applyBorder="1" applyAlignment="1">
      <alignment horizontal="center"/>
    </xf>
    <xf numFmtId="164" fontId="0" fillId="2" borderId="1" xfId="2" applyNumberFormat="1" applyFont="1" applyFill="1" applyBorder="1"/>
    <xf numFmtId="41" fontId="3" fillId="0" borderId="0" xfId="0" applyNumberFormat="1" applyFont="1"/>
    <xf numFmtId="41" fontId="0" fillId="0" borderId="0" xfId="0" applyNumberFormat="1"/>
    <xf numFmtId="41" fontId="8" fillId="6" borderId="15" xfId="0" quotePrefix="1" applyNumberFormat="1" applyFont="1" applyFill="1" applyBorder="1" applyAlignment="1">
      <alignment horizontal="center"/>
    </xf>
    <xf numFmtId="41" fontId="5" fillId="0" borderId="0" xfId="0" applyNumberFormat="1" applyFont="1"/>
    <xf numFmtId="165" fontId="0" fillId="0" borderId="0" xfId="3" applyNumberFormat="1" applyFont="1"/>
    <xf numFmtId="41" fontId="0" fillId="0" borderId="9" xfId="0" applyNumberFormat="1" applyBorder="1"/>
    <xf numFmtId="41" fontId="8" fillId="6" borderId="15" xfId="0" applyNumberFormat="1" applyFont="1" applyFill="1" applyBorder="1"/>
    <xf numFmtId="41" fontId="9" fillId="0" borderId="0" xfId="0" applyNumberFormat="1" applyFont="1"/>
    <xf numFmtId="41" fontId="8" fillId="0" borderId="0" xfId="0" applyNumberFormat="1" applyFont="1"/>
    <xf numFmtId="41" fontId="8" fillId="0" borderId="9" xfId="0" applyNumberFormat="1" applyFont="1" applyBorder="1"/>
    <xf numFmtId="41" fontId="3" fillId="0" borderId="9" xfId="0" applyNumberFormat="1" applyFont="1" applyBorder="1"/>
    <xf numFmtId="41" fontId="8" fillId="6" borderId="16" xfId="0" quotePrefix="1" applyNumberFormat="1" applyFont="1" applyFill="1" applyBorder="1" applyAlignment="1">
      <alignment horizontal="center" vertical="center"/>
    </xf>
    <xf numFmtId="44" fontId="9" fillId="0" borderId="0" xfId="0" applyNumberFormat="1" applyFont="1" applyAlignment="1">
      <alignment horizontal="left" indent="1"/>
    </xf>
    <xf numFmtId="44" fontId="8" fillId="0" borderId="0" xfId="0" applyNumberFormat="1" applyFont="1"/>
    <xf numFmtId="44" fontId="8" fillId="0" borderId="9" xfId="0" applyNumberFormat="1" applyFont="1" applyBorder="1"/>
    <xf numFmtId="44" fontId="10" fillId="0" borderId="0" xfId="0" applyNumberFormat="1" applyFont="1" applyAlignment="1">
      <alignment horizontal="left" indent="1"/>
    </xf>
    <xf numFmtId="6" fontId="12" fillId="0" borderId="0" xfId="0" applyNumberFormat="1" applyFont="1"/>
    <xf numFmtId="41" fontId="3" fillId="0" borderId="0" xfId="0" applyNumberFormat="1" applyFont="1" applyAlignment="1">
      <alignment horizontal="left" indent="5"/>
    </xf>
    <xf numFmtId="41" fontId="3" fillId="0" borderId="9" xfId="0" applyNumberFormat="1" applyFont="1" applyBorder="1" applyAlignment="1">
      <alignment horizontal="left" indent="5"/>
    </xf>
    <xf numFmtId="6" fontId="12" fillId="0" borderId="9" xfId="0" applyNumberFormat="1" applyFont="1" applyBorder="1"/>
    <xf numFmtId="0" fontId="0" fillId="0" borderId="0" xfId="0" applyAlignment="1">
      <alignment horizontal="left" indent="3"/>
    </xf>
    <xf numFmtId="0" fontId="0" fillId="0" borderId="9" xfId="0" applyBorder="1" applyAlignment="1">
      <alignment horizontal="left" indent="3"/>
    </xf>
    <xf numFmtId="0" fontId="0" fillId="0" borderId="0" xfId="0" quotePrefix="1"/>
    <xf numFmtId="0" fontId="2" fillId="0" borderId="0" xfId="0" applyNumberFormat="1" applyFont="1"/>
    <xf numFmtId="41" fontId="0" fillId="0" borderId="0" xfId="0" applyNumberFormat="1" applyFont="1"/>
    <xf numFmtId="164" fontId="0" fillId="0" borderId="0" xfId="0" applyNumberFormat="1"/>
    <xf numFmtId="164" fontId="2" fillId="0" borderId="0" xfId="0" applyNumberFormat="1" applyFont="1"/>
    <xf numFmtId="9" fontId="0" fillId="0" borderId="0" xfId="0" applyNumberFormat="1"/>
    <xf numFmtId="0" fontId="2" fillId="0" borderId="0" xfId="0" applyNumberFormat="1" applyFont="1" applyAlignment="1">
      <alignment horizontal="center"/>
    </xf>
    <xf numFmtId="8" fontId="0" fillId="0" borderId="0" xfId="2" applyNumberFormat="1" applyFont="1"/>
    <xf numFmtId="10" fontId="0" fillId="0" borderId="0" xfId="3" applyNumberFormat="1" applyFont="1"/>
    <xf numFmtId="8" fontId="0" fillId="2" borderId="1" xfId="0" applyNumberFormat="1" applyFill="1" applyBorder="1"/>
    <xf numFmtId="10" fontId="0" fillId="0" borderId="0" xfId="0" applyNumberFormat="1"/>
    <xf numFmtId="165" fontId="0" fillId="2" borderId="1" xfId="3" applyNumberFormat="1" applyFont="1" applyFill="1" applyBorder="1"/>
    <xf numFmtId="10" fontId="2" fillId="0" borderId="0" xfId="3" applyNumberFormat="1" applyFont="1"/>
    <xf numFmtId="41" fontId="5" fillId="2" borderId="0" xfId="0" applyNumberFormat="1" applyFont="1" applyFill="1"/>
    <xf numFmtId="0" fontId="0" fillId="0" borderId="0" xfId="0"/>
    <xf numFmtId="8" fontId="0" fillId="0" borderId="0" xfId="0" applyNumberFormat="1"/>
    <xf numFmtId="0" fontId="0" fillId="0" borderId="9" xfId="0" applyBorder="1"/>
    <xf numFmtId="0" fontId="0" fillId="0" borderId="0" xfId="0" quotePrefix="1"/>
    <xf numFmtId="10" fontId="0" fillId="7" borderId="1" xfId="0" applyNumberFormat="1" applyFill="1" applyBorder="1"/>
    <xf numFmtId="41" fontId="0" fillId="2" borderId="0" xfId="0" applyNumberFormat="1" applyFill="1"/>
    <xf numFmtId="0" fontId="0" fillId="0" borderId="0" xfId="0"/>
    <xf numFmtId="0" fontId="0" fillId="0" borderId="0" xfId="0"/>
    <xf numFmtId="0" fontId="0" fillId="0" borderId="10" xfId="0"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0" fillId="0" borderId="4" xfId="0" applyBorder="1" applyAlignment="1">
      <alignment horizontal="center"/>
    </xf>
    <xf numFmtId="164" fontId="2" fillId="0" borderId="1" xfId="2" applyNumberFormat="1" applyFont="1" applyBorder="1" applyAlignment="1">
      <alignment horizontal="center"/>
    </xf>
    <xf numFmtId="0" fontId="0" fillId="0" borderId="5" xfId="0" applyBorder="1" applyAlignment="1">
      <alignment horizontal="center"/>
    </xf>
    <xf numFmtId="164" fontId="1" fillId="0" borderId="7" xfId="2" applyNumberFormat="1" applyFont="1" applyBorder="1" applyAlignment="1">
      <alignment horizontal="center"/>
    </xf>
    <xf numFmtId="0" fontId="0" fillId="0" borderId="17" xfId="0" applyBorder="1" applyAlignment="1">
      <alignment horizontal="center"/>
    </xf>
    <xf numFmtId="0" fontId="0" fillId="0" borderId="0" xfId="0"/>
    <xf numFmtId="0" fontId="0" fillId="0" borderId="0" xfId="0"/>
    <xf numFmtId="0" fontId="0" fillId="0" borderId="9" xfId="0" applyBorder="1"/>
    <xf numFmtId="0" fontId="0" fillId="0" borderId="0" xfId="0" applyAlignment="1">
      <alignment horizontal="center"/>
    </xf>
    <xf numFmtId="0" fontId="0" fillId="0" borderId="0" xfId="0" quotePrefix="1"/>
    <xf numFmtId="165" fontId="0" fillId="2" borderId="1" xfId="3" applyNumberFormat="1" applyFont="1" applyFill="1" applyBorder="1"/>
    <xf numFmtId="0" fontId="0" fillId="0" borderId="0" xfId="0" applyFill="1" applyBorder="1"/>
    <xf numFmtId="0" fontId="0" fillId="0" borderId="0" xfId="0" applyFill="1" applyBorder="1" applyAlignment="1">
      <alignment horizontal="left" indent="2"/>
    </xf>
    <xf numFmtId="10" fontId="2" fillId="0" borderId="1" xfId="0" applyNumberFormat="1" applyFont="1" applyBorder="1"/>
    <xf numFmtId="165" fontId="0" fillId="2" borderId="18" xfId="3" applyNumberFormat="1" applyFont="1" applyFill="1" applyBorder="1"/>
    <xf numFmtId="0" fontId="3" fillId="0" borderId="16" xfId="0" applyFont="1" applyBorder="1" applyAlignment="1">
      <alignment horizontal="center" wrapText="1"/>
    </xf>
    <xf numFmtId="0" fontId="0" fillId="0" borderId="9" xfId="0" applyBorder="1" applyAlignment="1">
      <alignment horizontal="center"/>
    </xf>
    <xf numFmtId="0" fontId="0" fillId="0" borderId="0" xfId="0" quotePrefix="1"/>
    <xf numFmtId="0" fontId="0" fillId="0" borderId="0" xfId="0"/>
    <xf numFmtId="0" fontId="13" fillId="0" borderId="0" xfId="0" applyFont="1"/>
    <xf numFmtId="0" fontId="13" fillId="0" borderId="0" xfId="0" applyFont="1"/>
    <xf numFmtId="0" fontId="3" fillId="4" borderId="2" xfId="0" applyFont="1" applyFill="1" applyBorder="1" applyAlignment="1">
      <alignment horizontal="center"/>
    </xf>
    <xf numFmtId="0" fontId="3" fillId="4" borderId="3" xfId="0" applyFont="1" applyFill="1" applyBorder="1" applyAlignment="1">
      <alignment horizontal="center"/>
    </xf>
    <xf numFmtId="0" fontId="3" fillId="4" borderId="14" xfId="0" applyFont="1" applyFill="1" applyBorder="1" applyAlignment="1">
      <alignment horizontal="center"/>
    </xf>
    <xf numFmtId="0" fontId="3" fillId="4" borderId="5" xfId="0" applyFont="1" applyFill="1" applyBorder="1" applyAlignment="1">
      <alignment horizontal="center"/>
    </xf>
    <xf numFmtId="0" fontId="3" fillId="4" borderId="10" xfId="0" applyFont="1" applyFill="1" applyBorder="1" applyAlignment="1">
      <alignment horizontal="center"/>
    </xf>
    <xf numFmtId="164" fontId="0" fillId="5" borderId="8" xfId="2" applyNumberFormat="1" applyFont="1" applyFill="1" applyBorder="1"/>
    <xf numFmtId="41" fontId="5" fillId="0" borderId="0" xfId="0" applyNumberFormat="1" applyFont="1"/>
    <xf numFmtId="164" fontId="0" fillId="4" borderId="6" xfId="2" applyNumberFormat="1" applyFont="1" applyFill="1" applyBorder="1"/>
    <xf numFmtId="164" fontId="0" fillId="4" borderId="7" xfId="2" applyNumberFormat="1" applyFont="1" applyFill="1" applyBorder="1"/>
    <xf numFmtId="0" fontId="11" fillId="0" borderId="0" xfId="0" applyFont="1"/>
    <xf numFmtId="0" fontId="14" fillId="0" borderId="0" xfId="0" applyFont="1"/>
    <xf numFmtId="0" fontId="0" fillId="0" borderId="0" xfId="0"/>
    <xf numFmtId="0" fontId="3" fillId="0" borderId="0" xfId="0" applyFont="1" applyAlignment="1">
      <alignment horizontal="center"/>
    </xf>
    <xf numFmtId="14" fontId="0" fillId="0" borderId="0" xfId="0" applyNumberFormat="1"/>
    <xf numFmtId="0" fontId="0" fillId="0" borderId="0" xfId="0" applyAlignment="1">
      <alignment horizontal="left" indent="1"/>
    </xf>
    <xf numFmtId="43" fontId="0" fillId="2" borderId="1" xfId="1" applyFont="1" applyFill="1" applyBorder="1"/>
    <xf numFmtId="8" fontId="0" fillId="0" borderId="0" xfId="0" applyNumberFormat="1"/>
    <xf numFmtId="0" fontId="0" fillId="0" borderId="0" xfId="0"/>
    <xf numFmtId="0" fontId="0" fillId="0" borderId="0" xfId="0"/>
    <xf numFmtId="0" fontId="0" fillId="0" borderId="0" xfId="0" quotePrefix="1"/>
    <xf numFmtId="164" fontId="2" fillId="0" borderId="1" xfId="2" applyNumberFormat="1" applyFont="1" applyBorder="1" applyAlignment="1">
      <alignment horizontal="center"/>
    </xf>
    <xf numFmtId="164" fontId="1" fillId="0" borderId="7" xfId="2" applyNumberFormat="1" applyFont="1" applyBorder="1" applyAlignment="1">
      <alignment horizontal="center"/>
    </xf>
    <xf numFmtId="0" fontId="0" fillId="0" borderId="0" xfId="0"/>
    <xf numFmtId="8" fontId="0" fillId="0" borderId="0" xfId="0" applyNumberFormat="1"/>
    <xf numFmtId="0" fontId="0" fillId="0" borderId="0" xfId="0"/>
    <xf numFmtId="8" fontId="0" fillId="0" borderId="0" xfId="0" applyNumberFormat="1"/>
    <xf numFmtId="6" fontId="12" fillId="0" borderId="0" xfId="0" applyNumberFormat="1" applyFont="1"/>
    <xf numFmtId="166" fontId="12" fillId="0" borderId="0" xfId="0" applyNumberFormat="1" applyFont="1"/>
    <xf numFmtId="165" fontId="12" fillId="0" borderId="0" xfId="0" applyNumberFormat="1" applyFont="1"/>
    <xf numFmtId="0" fontId="0" fillId="0" borderId="0" xfId="0"/>
    <xf numFmtId="0" fontId="3" fillId="0" borderId="0" xfId="0" applyFont="1"/>
    <xf numFmtId="0" fontId="3" fillId="0" borderId="0" xfId="0" applyFont="1" applyAlignment="1">
      <alignment horizontal="center"/>
    </xf>
    <xf numFmtId="0" fontId="0" fillId="0" borderId="0" xfId="0" quotePrefix="1" applyAlignment="1">
      <alignment horizontal="right" vertical="center"/>
    </xf>
    <xf numFmtId="0" fontId="3" fillId="2" borderId="1" xfId="0" applyFont="1" applyFill="1" applyBorder="1" applyAlignment="1">
      <alignment horizontal="center"/>
    </xf>
    <xf numFmtId="0" fontId="16" fillId="0" borderId="0" xfId="0" applyFont="1" applyAlignment="1">
      <alignment horizontal="center" vertical="center"/>
    </xf>
    <xf numFmtId="0" fontId="3" fillId="0" borderId="0" xfId="0" quotePrefix="1" applyFont="1" applyAlignment="1">
      <alignment horizontal="center"/>
    </xf>
    <xf numFmtId="0" fontId="0" fillId="0" borderId="0" xfId="0" applyAlignment="1">
      <alignment horizontal="left" vertical="top" wrapText="1"/>
    </xf>
    <xf numFmtId="0" fontId="0" fillId="0" borderId="0" xfId="0" quotePrefix="1" applyAlignment="1">
      <alignment horizontal="center"/>
    </xf>
    <xf numFmtId="44" fontId="0" fillId="0" borderId="0" xfId="0" applyNumberFormat="1"/>
    <xf numFmtId="44" fontId="17" fillId="0" borderId="0" xfId="0" applyNumberFormat="1" applyFont="1"/>
    <xf numFmtId="44" fontId="0" fillId="0" borderId="9" xfId="0" applyNumberFormat="1" applyBorder="1"/>
    <xf numFmtId="41" fontId="8" fillId="6" borderId="16" xfId="0" applyNumberFormat="1" applyFont="1" applyFill="1" applyBorder="1"/>
    <xf numFmtId="0" fontId="0" fillId="0" borderId="0" xfId="0"/>
    <xf numFmtId="8" fontId="0" fillId="0" borderId="0" xfId="0" applyNumberFormat="1"/>
    <xf numFmtId="0" fontId="0" fillId="0" borderId="0" xfId="0"/>
    <xf numFmtId="0" fontId="0" fillId="0" borderId="0" xfId="0"/>
    <xf numFmtId="0" fontId="0" fillId="0" borderId="0" xfId="0" quotePrefix="1" applyAlignment="1">
      <alignment horizontal="right" vertical="center"/>
    </xf>
    <xf numFmtId="41" fontId="8" fillId="6" borderId="16" xfId="0" quotePrefix="1" applyNumberFormat="1" applyFont="1" applyFill="1" applyBorder="1" applyAlignment="1">
      <alignment horizontal="center" vertical="center"/>
    </xf>
    <xf numFmtId="0" fontId="3" fillId="2" borderId="16" xfId="0" applyFont="1" applyFill="1" applyBorder="1" applyAlignment="1">
      <alignment horizontal="center"/>
    </xf>
    <xf numFmtId="8" fontId="0" fillId="2" borderId="12" xfId="2" applyNumberFormat="1" applyFont="1" applyFill="1" applyBorder="1"/>
    <xf numFmtId="44" fontId="0" fillId="2" borderId="13" xfId="2" applyFont="1" applyFill="1" applyBorder="1"/>
    <xf numFmtId="41" fontId="7" fillId="0" borderId="9" xfId="0" applyNumberFormat="1" applyFont="1" applyBorder="1" applyAlignment="1">
      <alignment horizontal="center"/>
    </xf>
    <xf numFmtId="41" fontId="8" fillId="6" borderId="16" xfId="0" applyNumberFormat="1" applyFont="1" applyFill="1" applyBorder="1" applyAlignment="1">
      <alignment horizontal="center" vertical="center"/>
    </xf>
    <xf numFmtId="41" fontId="8" fillId="6" borderId="16" xfId="0" quotePrefix="1" applyNumberFormat="1" applyFont="1" applyFill="1" applyBorder="1" applyAlignment="1">
      <alignment horizontal="center" vertical="center"/>
    </xf>
    <xf numFmtId="0" fontId="0" fillId="0" borderId="0" xfId="0" applyAlignment="1">
      <alignment horizontal="left" vertical="top" wrapText="1"/>
    </xf>
    <xf numFmtId="0" fontId="3" fillId="8" borderId="12" xfId="0" applyFont="1" applyFill="1" applyBorder="1" applyAlignment="1">
      <alignment horizontal="center" vertical="center"/>
    </xf>
    <xf numFmtId="0" fontId="3" fillId="8" borderId="16" xfId="0" applyFont="1" applyFill="1" applyBorder="1" applyAlignment="1">
      <alignment horizontal="center" vertical="center"/>
    </xf>
    <xf numFmtId="0" fontId="3" fillId="8" borderId="13" xfId="0" applyFont="1" applyFill="1" applyBorder="1" applyAlignment="1">
      <alignment horizontal="center" vertical="center"/>
    </xf>
    <xf numFmtId="0" fontId="0" fillId="0" borderId="0" xfId="0" quotePrefix="1" applyAlignment="1">
      <alignment horizontal="right"/>
    </xf>
    <xf numFmtId="0" fontId="0" fillId="0" borderId="0" xfId="0" applyAlignment="1">
      <alignment horizontal="right"/>
    </xf>
    <xf numFmtId="0" fontId="0" fillId="0" borderId="19"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0" fillId="0" borderId="22" xfId="0" applyBorder="1"/>
    <xf numFmtId="0" fontId="0" fillId="0" borderId="7" xfId="0" applyBorder="1"/>
    <xf numFmtId="0" fontId="0" fillId="0" borderId="23" xfId="0" applyBorder="1" applyAlignment="1">
      <alignment horizontal="center"/>
    </xf>
    <xf numFmtId="0" fontId="0" fillId="0" borderId="8" xfId="0" applyBorder="1"/>
    <xf numFmtId="0" fontId="3" fillId="0" borderId="16" xfId="0" applyFont="1" applyBorder="1" applyAlignment="1">
      <alignment horizontal="center"/>
    </xf>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5523</xdr:colOff>
      <xdr:row>0</xdr:row>
      <xdr:rowOff>104912</xdr:rowOff>
    </xdr:from>
    <xdr:to>
      <xdr:col>10</xdr:col>
      <xdr:colOff>281610</xdr:colOff>
      <xdr:row>16</xdr:row>
      <xdr:rowOff>182217</xdr:rowOff>
    </xdr:to>
    <xdr:sp macro="" textlink="">
      <xdr:nvSpPr>
        <xdr:cNvPr id="2" name="TextBox 1"/>
        <xdr:cNvSpPr txBox="1"/>
      </xdr:nvSpPr>
      <xdr:spPr>
        <a:xfrm>
          <a:off x="204306" y="104912"/>
          <a:ext cx="7454347" cy="2992783"/>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b="1"/>
            <a:t>INSTRUCTIONS:</a:t>
          </a:r>
        </a:p>
        <a:p>
          <a:endParaRPr lang="en-US" sz="1100"/>
        </a:p>
        <a:p>
          <a:r>
            <a:rPr lang="en-US" sz="1100"/>
            <a:t>Use the space</a:t>
          </a:r>
          <a:r>
            <a:rPr lang="en-US" sz="1100" baseline="0"/>
            <a:t> beginning in Row 29 to create an amoritzation table model that will work for ANY ALLOWABLE values of the inputs. User-changeable inputs are in red. Create restrictions on the input cells that prevent users from entering values that are not allowed.</a:t>
          </a:r>
        </a:p>
        <a:p>
          <a:endParaRPr lang="en-US" sz="1100" baseline="0"/>
        </a:p>
        <a:p>
          <a:r>
            <a:rPr lang="en-US" sz="1100" baseline="0"/>
            <a:t>The amount of the loan must be a positive number.</a:t>
          </a:r>
        </a:p>
        <a:p>
          <a:r>
            <a:rPr lang="en-US" sz="1100" baseline="0"/>
            <a:t>The balloon payment must be a positive number or zero and must be less than the amount of the loan. </a:t>
          </a:r>
        </a:p>
        <a:p>
          <a:r>
            <a:rPr lang="en-US" sz="1100" baseline="0"/>
            <a:t>The term of the loan can be 1, 2, 3, 4, or 5 years.</a:t>
          </a:r>
        </a:p>
        <a:p>
          <a:r>
            <a:rPr lang="en-US" sz="1100" baseline="0"/>
            <a:t>The interest rate can be between 5% and 15%.</a:t>
          </a:r>
        </a:p>
        <a:p>
          <a:r>
            <a:rPr lang="en-US" sz="1100" baseline="0"/>
            <a:t>The payment frequency can be annual, quarterly, or monthly. Use a drop-down list in Cell F25 with "Annual", "Quarterly" and "Monthly" as the choices. Use the results from that cell to set the payment frequency for computation in the table.</a:t>
          </a:r>
        </a:p>
        <a:p>
          <a:endParaRPr lang="en-US" sz="1100" baseline="0"/>
        </a:p>
        <a:p>
          <a:r>
            <a:rPr lang="en-US" sz="1100" baseline="0"/>
            <a:t>Each row in your table should show the monthly payment, the interest portion of that payment, the principal portion of that payment, and the balance immediately following that payment for all payments within the term of the loan. Rows in the table that are beyond the term of the loan should show nothing (be blank) except for the payment number. All values in the table should be positive numbers or zero.</a:t>
          </a:r>
        </a:p>
        <a:p>
          <a:endParaRPr lang="en-US" sz="1100" baseline="0"/>
        </a:p>
        <a:p>
          <a:r>
            <a:rPr lang="en-US" sz="1100" baseline="0"/>
            <a:t>In cell H22, create a formula that computes the total dollar amount of interest that will be paid over the life of the loan. given the inputs.</a:t>
          </a:r>
        </a:p>
        <a:p>
          <a:endParaRPr lang="en-US" sz="1100" baseline="0"/>
        </a:p>
        <a:p>
          <a:r>
            <a:rPr lang="en-US" sz="1100" baseline="0"/>
            <a:t>In cell H25, create a formula that computes the effective annual interest rate for the loan given the inputs. </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381000</xdr:colOff>
      <xdr:row>1</xdr:row>
      <xdr:rowOff>12700</xdr:rowOff>
    </xdr:from>
    <xdr:to>
      <xdr:col>5</xdr:col>
      <xdr:colOff>596900</xdr:colOff>
      <xdr:row>15</xdr:row>
      <xdr:rowOff>152400</xdr:rowOff>
    </xdr:to>
    <xdr:sp macro="" textlink="">
      <xdr:nvSpPr>
        <xdr:cNvPr id="2" name="TextBox 1"/>
        <xdr:cNvSpPr txBox="1"/>
      </xdr:nvSpPr>
      <xdr:spPr>
        <a:xfrm>
          <a:off x="381000" y="196850"/>
          <a:ext cx="5054600" cy="27178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b="1"/>
            <a:t>Instructions:</a:t>
          </a:r>
        </a:p>
        <a:p>
          <a:endParaRPr lang="en-US" sz="1100"/>
        </a:p>
        <a:p>
          <a:r>
            <a:rPr lang="en-US" sz="1100"/>
            <a:t>The inputs below represent</a:t>
          </a:r>
          <a:r>
            <a:rPr lang="en-US" sz="1100" baseline="0"/>
            <a:t> a loan with monthly payments. The loan will have a required monthly payment, but the borrower can pay more than the required payment. The input for the supplemental monthly payment is the additional amount that will be paid each month that the loan is in effect. </a:t>
          </a:r>
        </a:p>
        <a:p>
          <a:endParaRPr lang="en-US" sz="1100" baseline="0"/>
        </a:p>
        <a:p>
          <a:r>
            <a:rPr lang="en-US" sz="1100" baseline="0"/>
            <a:t>Create a formula that computes the number of payments that will be needed to pay off the loan if the same supplemental monthly payment is made throughout the life of the loan.</a:t>
          </a:r>
        </a:p>
        <a:p>
          <a:endParaRPr lang="en-US" sz="1100"/>
        </a:p>
        <a:p>
          <a:r>
            <a:rPr lang="en-US" sz="1100"/>
            <a:t>Also create whatever formulas are necessary to compute</a:t>
          </a:r>
          <a:r>
            <a:rPr lang="en-US" sz="1100" baseline="0"/>
            <a:t> the difference between the total dollar amount of interest that would have been paid on the loan if only the required payments were made and the total dollar amount of interest that will be paid if the supplemental monthly payment is made every month.</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210820</xdr:colOff>
      <xdr:row>36</xdr:row>
      <xdr:rowOff>12700</xdr:rowOff>
    </xdr:from>
    <xdr:to>
      <xdr:col>9</xdr:col>
      <xdr:colOff>392430</xdr:colOff>
      <xdr:row>42</xdr:row>
      <xdr:rowOff>31750</xdr:rowOff>
    </xdr:to>
    <xdr:sp macro="" textlink="">
      <xdr:nvSpPr>
        <xdr:cNvPr id="2" name="Rounded Rectangle 1"/>
        <xdr:cNvSpPr/>
      </xdr:nvSpPr>
      <xdr:spPr>
        <a:xfrm>
          <a:off x="1125220" y="6604000"/>
          <a:ext cx="4867910" cy="111633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2400" b="1"/>
            <a:t>The proof</a:t>
          </a:r>
          <a:r>
            <a:rPr lang="en-US" sz="2400" b="1" baseline="0"/>
            <a:t> that this solution is correct is to the right.</a:t>
          </a:r>
        </a:p>
        <a:p>
          <a:pPr algn="l"/>
          <a:endParaRPr lang="en-US" sz="24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41412</xdr:colOff>
      <xdr:row>2</xdr:row>
      <xdr:rowOff>104913</xdr:rowOff>
    </xdr:from>
    <xdr:to>
      <xdr:col>7</xdr:col>
      <xdr:colOff>731630</xdr:colOff>
      <xdr:row>7</xdr:row>
      <xdr:rowOff>179457</xdr:rowOff>
    </xdr:to>
    <xdr:sp macro="" textlink="">
      <xdr:nvSpPr>
        <xdr:cNvPr id="2" name="Round Same Side Corner Rectangle 1"/>
        <xdr:cNvSpPr/>
      </xdr:nvSpPr>
      <xdr:spPr>
        <a:xfrm>
          <a:off x="289890" y="585304"/>
          <a:ext cx="4964044" cy="1565414"/>
        </a:xfrm>
        <a:prstGeom prst="round2SameRect">
          <a:avLst/>
        </a:prstGeom>
      </xdr:spPr>
      <xdr:style>
        <a:lnRef idx="0">
          <a:schemeClr val="accent6"/>
        </a:lnRef>
        <a:fillRef idx="3">
          <a:schemeClr val="accent6"/>
        </a:fillRef>
        <a:effectRef idx="3">
          <a:schemeClr val="accent6"/>
        </a:effectRef>
        <a:fontRef idx="minor">
          <a:schemeClr val="lt1"/>
        </a:fontRef>
      </xdr:style>
      <xdr:txBody>
        <a:bodyPr vertOverflow="clip" rtlCol="0" anchor="ctr"/>
        <a:lstStyle/>
        <a:p>
          <a:pPr algn="ctr"/>
          <a:r>
            <a:rPr lang="en-US" sz="1400" b="1"/>
            <a:t>NOTE: There</a:t>
          </a:r>
          <a:r>
            <a:rPr lang="en-US" sz="1400" b="1" baseline="0"/>
            <a:t> may be and probably are many ways to solve these problems. Any way that produces the correct answer, within any constraints stated with the problem, is acceptable. The sign of the answer does not matter as long as the number value of the answer is correct. </a:t>
          </a:r>
          <a:endParaRPr lang="en-US" sz="1400" b="1"/>
        </a:p>
      </xdr:txBody>
    </xdr:sp>
    <xdr:clientData/>
  </xdr:twoCellAnchor>
  <xdr:twoCellAnchor editAs="oneCell">
    <xdr:from>
      <xdr:col>0</xdr:col>
      <xdr:colOff>60740</xdr:colOff>
      <xdr:row>45</xdr:row>
      <xdr:rowOff>60740</xdr:rowOff>
    </xdr:from>
    <xdr:to>
      <xdr:col>9</xdr:col>
      <xdr:colOff>77307</xdr:colOff>
      <xdr:row>52</xdr:row>
      <xdr:rowOff>142737</xdr:rowOff>
    </xdr:to>
    <xdr:pic>
      <xdr:nvPicPr>
        <xdr:cNvPr id="30" name="Picture 29"/>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740" y="9464262"/>
          <a:ext cx="6350002" cy="17826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228599</xdr:colOff>
      <xdr:row>0</xdr:row>
      <xdr:rowOff>180974</xdr:rowOff>
    </xdr:from>
    <xdr:to>
      <xdr:col>7</xdr:col>
      <xdr:colOff>0</xdr:colOff>
      <xdr:row>21</xdr:row>
      <xdr:rowOff>171174</xdr:rowOff>
    </xdr:to>
    <xdr:sp macro="" textlink="">
      <xdr:nvSpPr>
        <xdr:cNvPr id="2" name="TextBox 1"/>
        <xdr:cNvSpPr txBox="1"/>
      </xdr:nvSpPr>
      <xdr:spPr>
        <a:xfrm>
          <a:off x="228599" y="180974"/>
          <a:ext cx="6458227" cy="3816765"/>
        </a:xfrm>
        <a:prstGeom prst="rect">
          <a:avLst/>
        </a:prstGeom>
        <a:solidFill>
          <a:srgbClr val="FFFFCC"/>
        </a:solidFill>
        <a:ln w="254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a:solidFill>
                <a:schemeClr val="dk1"/>
              </a:solidFill>
              <a:effectLst/>
              <a:latin typeface="+mn-lt"/>
              <a:ea typeface="+mn-ea"/>
              <a:cs typeface="+mn-cs"/>
            </a:rPr>
            <a:t>You</a:t>
          </a:r>
          <a:r>
            <a:rPr lang="en-US" sz="1100" b="1" baseline="0">
              <a:solidFill>
                <a:schemeClr val="dk1"/>
              </a:solidFill>
              <a:effectLst/>
              <a:latin typeface="+mn-lt"/>
              <a:ea typeface="+mn-ea"/>
              <a:cs typeface="+mn-cs"/>
            </a:rPr>
            <a:t> need forecast the 2012 pro forma income statement and balance sheet for the firm whose 2010and 2011 income statements and balance sheets are given here. </a:t>
          </a:r>
          <a:r>
            <a:rPr lang="en-US" sz="1100" b="1">
              <a:solidFill>
                <a:schemeClr val="dk1"/>
              </a:solidFill>
              <a:effectLst/>
              <a:latin typeface="+mn-lt"/>
              <a:ea typeface="+mn-ea"/>
              <a:cs typeface="+mn-cs"/>
            </a:rPr>
            <a:t>Inputs are provided for most items</a:t>
          </a:r>
          <a:r>
            <a:rPr lang="en-US" sz="1100" b="1" baseline="0">
              <a:solidFill>
                <a:schemeClr val="dk1"/>
              </a:solidFill>
              <a:effectLst/>
              <a:latin typeface="+mn-lt"/>
              <a:ea typeface="+mn-ea"/>
              <a:cs typeface="+mn-cs"/>
            </a:rPr>
            <a:t> in the Inputs section below.</a:t>
          </a:r>
          <a:r>
            <a:rPr lang="en-US" sz="1100" b="1">
              <a:solidFill>
                <a:schemeClr val="dk1"/>
              </a:solidFill>
              <a:effectLst/>
              <a:latin typeface="+mn-lt"/>
              <a:ea typeface="+mn-ea"/>
              <a:cs typeface="+mn-cs"/>
            </a:rPr>
            <a:t> </a:t>
          </a:r>
        </a:p>
        <a:p>
          <a:endParaRPr lang="en-US">
            <a:effectLst/>
          </a:endParaRPr>
        </a:p>
        <a:p>
          <a:r>
            <a:rPr lang="en-US" sz="1100" b="1">
              <a:solidFill>
                <a:schemeClr val="dk1"/>
              </a:solidFill>
              <a:effectLst/>
              <a:latin typeface="+mn-lt"/>
              <a:ea typeface="+mn-ea"/>
              <a:cs typeface="+mn-cs"/>
            </a:rPr>
            <a:t>The cost of goods sold in 2012 is expected to change with sales by 90% of the two-year arithmetic average of the proportion of this item in relation to sales</a:t>
          </a:r>
          <a:r>
            <a:rPr lang="en-US" sz="1100" b="1" baseline="0">
              <a:solidFill>
                <a:schemeClr val="dk1"/>
              </a:solidFill>
              <a:effectLst/>
              <a:latin typeface="+mn-lt"/>
              <a:ea typeface="+mn-ea"/>
              <a:cs typeface="+mn-cs"/>
            </a:rPr>
            <a:t> for 2010 and 2011.  </a:t>
          </a:r>
          <a:r>
            <a:rPr lang="en-US" sz="1100" b="1">
              <a:solidFill>
                <a:schemeClr val="dk1"/>
              </a:solidFill>
              <a:effectLst/>
              <a:latin typeface="+mn-lt"/>
              <a:ea typeface="+mn-ea"/>
              <a:cs typeface="+mn-cs"/>
            </a:rPr>
            <a:t>Selling and G&amp;A Expenses, Accounts receivable, Inventory, and Accounts Payable are expected to change with sales at 100% of the two-year arithmetic average of their percentage of sales</a:t>
          </a:r>
          <a:r>
            <a:rPr lang="en-US" sz="1100" b="1" baseline="0">
              <a:solidFill>
                <a:schemeClr val="dk1"/>
              </a:solidFill>
              <a:effectLst/>
              <a:latin typeface="+mn-lt"/>
              <a:ea typeface="+mn-ea"/>
              <a:cs typeface="+mn-cs"/>
            </a:rPr>
            <a:t> for 2010 and 2011</a:t>
          </a:r>
          <a:r>
            <a:rPr lang="en-US" sz="1100" b="1">
              <a:solidFill>
                <a:schemeClr val="dk1"/>
              </a:solidFill>
              <a:effectLst/>
              <a:latin typeface="+mn-lt"/>
              <a:ea typeface="+mn-ea"/>
              <a:cs typeface="+mn-cs"/>
            </a:rPr>
            <a:t>.  The firm has planned an investment of $50,000 in new equipment </a:t>
          </a:r>
          <a:r>
            <a:rPr lang="en-US" sz="1100" b="1" baseline="0">
              <a:solidFill>
                <a:schemeClr val="dk1"/>
              </a:solidFill>
              <a:effectLst/>
              <a:latin typeface="+mn-lt"/>
              <a:ea typeface="+mn-ea"/>
              <a:cs typeface="+mn-cs"/>
            </a:rPr>
            <a:t>in 2012.  This equipment will be depreciated at $10,000 per year. Depreciation on existing Plant/Equipment will be the same as it was in 2011. </a:t>
          </a:r>
          <a:r>
            <a:rPr lang="en-US" sz="1100" b="1">
              <a:solidFill>
                <a:schemeClr val="dk1"/>
              </a:solidFill>
              <a:effectLst/>
              <a:latin typeface="+mn-lt"/>
              <a:ea typeface="+mn-ea"/>
              <a:cs typeface="+mn-cs"/>
            </a:rPr>
            <a:t>Interest expense</a:t>
          </a:r>
          <a:r>
            <a:rPr lang="en-US" sz="1100" b="1" baseline="0">
              <a:solidFill>
                <a:schemeClr val="dk1"/>
              </a:solidFill>
              <a:effectLst/>
              <a:latin typeface="+mn-lt"/>
              <a:ea typeface="+mn-ea"/>
              <a:cs typeface="+mn-cs"/>
            </a:rPr>
            <a:t> for 2012 is computed on the 2011 ending balances in Short Term Notes Payable and Long Term Debt. Inputs for those interest rates are provided in the Inputs section.</a:t>
          </a:r>
        </a:p>
        <a:p>
          <a:endParaRPr lang="en-US">
            <a:effectLst/>
          </a:endParaRPr>
        </a:p>
        <a:p>
          <a:r>
            <a:rPr lang="en-US" sz="1100" b="1">
              <a:solidFill>
                <a:schemeClr val="dk1"/>
              </a:solidFill>
              <a:effectLst/>
              <a:latin typeface="+mn-lt"/>
              <a:ea typeface="+mn-ea"/>
              <a:cs typeface="+mn-cs"/>
            </a:rPr>
            <a:t>Complete the </a:t>
          </a:r>
          <a:r>
            <a:rPr lang="en-US" sz="1100" b="1" baseline="0">
              <a:solidFill>
                <a:schemeClr val="dk1"/>
              </a:solidFill>
              <a:effectLst/>
              <a:latin typeface="+mn-lt"/>
              <a:ea typeface="+mn-ea"/>
              <a:cs typeface="+mn-cs"/>
            </a:rPr>
            <a:t> pro-forma income statement and balance sheet for 2012 using the information above, the inputs below, and the values that are given in the statements. The 2012 projected statements should accurately adjust for any changes in the inputs. </a:t>
          </a:r>
        </a:p>
        <a:p>
          <a:endParaRPr lang="en-US">
            <a:effectLst/>
          </a:endParaRPr>
        </a:p>
        <a:p>
          <a:r>
            <a:rPr lang="en-US" sz="1100" b="1" baseline="0">
              <a:solidFill>
                <a:schemeClr val="dk1"/>
              </a:solidFill>
              <a:effectLst/>
              <a:latin typeface="+mn-lt"/>
              <a:ea typeface="+mn-ea"/>
              <a:cs typeface="+mn-cs"/>
            </a:rPr>
            <a:t>Compute the excess or deficit of financing for 2012 in the yellow box at the bottom of the Balance Sheet.  This number should be positive if the firm will have more financing than is needed, and it should be negative if the firm has less financing than is needed.</a:t>
          </a:r>
          <a:endParaRPr lang="en-US">
            <a:effectLst/>
          </a:endParaRPr>
        </a:p>
        <a:p>
          <a:endParaRPr lang="en-US" sz="1100" b="1" baseline="0">
            <a:solidFill>
              <a:schemeClr val="dk1"/>
            </a:solidFill>
            <a:latin typeface="+mn-lt"/>
            <a:ea typeface="+mn-ea"/>
            <a:cs typeface="+mn-cs"/>
          </a:endParaRP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32"/>
  <sheetViews>
    <sheetView workbookViewId="0"/>
  </sheetViews>
  <sheetFormatPr defaultRowHeight="14.4" x14ac:dyDescent="0.3"/>
  <cols>
    <col min="1" max="1" width="2.77734375" style="134" customWidth="1"/>
    <col min="2" max="16384" width="8.88671875" style="134"/>
  </cols>
  <sheetData>
    <row r="2" spans="2:2" ht="18" x14ac:dyDescent="0.35">
      <c r="B2" s="98" t="s">
        <v>54</v>
      </c>
    </row>
    <row r="3" spans="2:2" ht="18" x14ac:dyDescent="0.35">
      <c r="B3" s="98" t="s">
        <v>75</v>
      </c>
    </row>
    <row r="4" spans="2:2" ht="18" x14ac:dyDescent="0.35">
      <c r="B4" s="98" t="s">
        <v>61</v>
      </c>
    </row>
    <row r="5" spans="2:2" ht="7.05" customHeight="1" x14ac:dyDescent="0.35">
      <c r="B5" s="98"/>
    </row>
    <row r="6" spans="2:2" ht="18" x14ac:dyDescent="0.35">
      <c r="B6" s="98" t="s">
        <v>55</v>
      </c>
    </row>
    <row r="7" spans="2:2" ht="18" x14ac:dyDescent="0.35">
      <c r="B7" s="98" t="s">
        <v>282</v>
      </c>
    </row>
    <row r="8" spans="2:2" ht="7.05" customHeight="1" x14ac:dyDescent="0.35">
      <c r="B8" s="98"/>
    </row>
    <row r="9" spans="2:2" ht="18" x14ac:dyDescent="0.35">
      <c r="B9" s="98" t="s">
        <v>106</v>
      </c>
    </row>
    <row r="10" spans="2:2" ht="18" x14ac:dyDescent="0.35">
      <c r="B10" s="98" t="s">
        <v>107</v>
      </c>
    </row>
    <row r="11" spans="2:2" ht="18" x14ac:dyDescent="0.35">
      <c r="B11" s="98" t="s">
        <v>127</v>
      </c>
    </row>
    <row r="12" spans="2:2" ht="7.05" customHeight="1" x14ac:dyDescent="0.35">
      <c r="B12" s="98"/>
    </row>
    <row r="13" spans="2:2" ht="18" x14ac:dyDescent="0.35">
      <c r="B13" s="98" t="s">
        <v>56</v>
      </c>
    </row>
    <row r="14" spans="2:2" ht="10.199999999999999" customHeight="1" x14ac:dyDescent="0.35">
      <c r="B14" s="98"/>
    </row>
    <row r="15" spans="2:2" ht="18" x14ac:dyDescent="0.35">
      <c r="B15" s="98" t="s">
        <v>283</v>
      </c>
    </row>
    <row r="16" spans="2:2" ht="18" x14ac:dyDescent="0.35">
      <c r="B16" s="98" t="s">
        <v>284</v>
      </c>
    </row>
    <row r="17" spans="2:3" ht="18" x14ac:dyDescent="0.35">
      <c r="B17" s="98" t="s">
        <v>285</v>
      </c>
    </row>
    <row r="18" spans="2:3" ht="18" x14ac:dyDescent="0.35">
      <c r="B18" s="98"/>
    </row>
    <row r="19" spans="2:3" x14ac:dyDescent="0.3">
      <c r="B19" s="134" t="s">
        <v>128</v>
      </c>
    </row>
    <row r="20" spans="2:3" ht="9.6" customHeight="1" x14ac:dyDescent="0.35">
      <c r="B20" s="98"/>
    </row>
    <row r="21" spans="2:3" x14ac:dyDescent="0.3">
      <c r="B21" s="134" t="s">
        <v>57</v>
      </c>
    </row>
    <row r="22" spans="2:3" x14ac:dyDescent="0.3">
      <c r="B22" s="134" t="s">
        <v>129</v>
      </c>
    </row>
    <row r="23" spans="2:3" x14ac:dyDescent="0.3">
      <c r="B23" s="134" t="s">
        <v>286</v>
      </c>
    </row>
    <row r="25" spans="2:3" ht="15.6" x14ac:dyDescent="0.3">
      <c r="B25" s="99" t="s">
        <v>108</v>
      </c>
    </row>
    <row r="26" spans="2:3" ht="15.6" x14ac:dyDescent="0.3">
      <c r="B26" s="99" t="s">
        <v>109</v>
      </c>
    </row>
    <row r="28" spans="2:3" x14ac:dyDescent="0.3">
      <c r="B28" s="134" t="s">
        <v>76</v>
      </c>
    </row>
    <row r="30" spans="2:3" x14ac:dyDescent="0.3">
      <c r="C30" s="134" t="s">
        <v>77</v>
      </c>
    </row>
    <row r="31" spans="2:3" x14ac:dyDescent="0.3">
      <c r="C31" s="134" t="s">
        <v>110</v>
      </c>
    </row>
    <row r="32" spans="2:3" x14ac:dyDescent="0.3">
      <c r="C32" s="134" t="s">
        <v>130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5:W90"/>
  <sheetViews>
    <sheetView topLeftCell="A22" zoomScale="115" zoomScaleNormal="115" workbookViewId="0">
      <selection activeCell="F24" sqref="F24"/>
    </sheetView>
  </sheetViews>
  <sheetFormatPr defaultRowHeight="14.4" x14ac:dyDescent="0.3"/>
  <cols>
    <col min="1" max="2" width="2.77734375" customWidth="1"/>
    <col min="3" max="6" width="14.77734375" customWidth="1"/>
    <col min="7" max="7" width="16.21875" customWidth="1"/>
    <col min="8" max="8" width="13.21875" customWidth="1"/>
    <col min="9" max="9" width="8.77734375" customWidth="1"/>
  </cols>
  <sheetData>
    <row r="5" spans="23:23" ht="75" customHeight="1" x14ac:dyDescent="0.35"/>
    <row r="12" spans="23:23" ht="14.55" x14ac:dyDescent="0.35">
      <c r="W12">
        <v>1</v>
      </c>
    </row>
    <row r="18" spans="3:19" x14ac:dyDescent="0.3">
      <c r="C18" s="41"/>
    </row>
    <row r="19" spans="3:19" x14ac:dyDescent="0.3">
      <c r="C19" s="41"/>
    </row>
    <row r="20" spans="3:19" x14ac:dyDescent="0.3">
      <c r="C20" s="16" t="s">
        <v>63</v>
      </c>
    </row>
    <row r="21" spans="3:19" ht="15" thickBot="1" x14ac:dyDescent="0.35">
      <c r="C21" s="6" t="s">
        <v>8</v>
      </c>
      <c r="F21" s="2">
        <v>115000</v>
      </c>
      <c r="G21" t="s">
        <v>89</v>
      </c>
      <c r="N21" t="s">
        <v>80</v>
      </c>
      <c r="O21">
        <f>IF(F25="Annual",1,IF(F25="Quarterly",4,12))</f>
        <v>12</v>
      </c>
      <c r="P21">
        <v>1</v>
      </c>
    </row>
    <row r="22" spans="3:19" ht="15" thickBot="1" x14ac:dyDescent="0.35">
      <c r="C22" s="41" t="s">
        <v>83</v>
      </c>
      <c r="F22" s="49">
        <v>4</v>
      </c>
      <c r="G22" t="s">
        <v>92</v>
      </c>
      <c r="H22" s="5">
        <f>D31*Term*Periods+F24-F21</f>
        <v>19212.251713717123</v>
      </c>
      <c r="N22" t="s">
        <v>81</v>
      </c>
      <c r="P22">
        <v>2</v>
      </c>
    </row>
    <row r="23" spans="3:19" x14ac:dyDescent="0.3">
      <c r="C23" s="6" t="s">
        <v>9</v>
      </c>
      <c r="F23" s="3">
        <v>6.8000000000000005E-2</v>
      </c>
      <c r="N23" t="s">
        <v>82</v>
      </c>
      <c r="P23">
        <v>3</v>
      </c>
    </row>
    <row r="24" spans="3:19" ht="15" thickBot="1" x14ac:dyDescent="0.35">
      <c r="C24" s="6" t="s">
        <v>10</v>
      </c>
      <c r="F24" s="2">
        <v>20000</v>
      </c>
      <c r="G24" t="s">
        <v>90</v>
      </c>
      <c r="P24">
        <v>4</v>
      </c>
    </row>
    <row r="25" spans="3:19" ht="15" thickBot="1" x14ac:dyDescent="0.35">
      <c r="C25" s="41" t="s">
        <v>62</v>
      </c>
      <c r="F25" t="s">
        <v>82</v>
      </c>
      <c r="G25" t="s">
        <v>91</v>
      </c>
      <c r="H25" s="54">
        <f>EFFECT(Rate,Periods)</f>
        <v>7.015988024972164E-2</v>
      </c>
      <c r="P25">
        <v>5</v>
      </c>
    </row>
    <row r="26" spans="3:19" ht="4.05" customHeight="1" thickBot="1" x14ac:dyDescent="0.35">
      <c r="C26" s="42"/>
      <c r="D26" s="8"/>
      <c r="E26" s="8"/>
      <c r="F26" s="8"/>
      <c r="G26" s="8"/>
      <c r="H26" s="8"/>
      <c r="I26" s="8"/>
      <c r="J26" s="8"/>
      <c r="K26" s="8"/>
      <c r="L26" s="8"/>
      <c r="M26" s="8"/>
      <c r="N26" s="15"/>
      <c r="O26" s="15"/>
      <c r="P26" s="15"/>
      <c r="Q26" s="15"/>
      <c r="R26" s="15"/>
      <c r="S26" s="15"/>
    </row>
    <row r="27" spans="3:19" ht="6" customHeight="1" x14ac:dyDescent="0.3"/>
    <row r="28" spans="3:19" ht="6" customHeight="1" thickBot="1" x14ac:dyDescent="0.35"/>
    <row r="29" spans="3:19" ht="29.4" thickBot="1" x14ac:dyDescent="0.35">
      <c r="C29" s="9" t="s">
        <v>11</v>
      </c>
      <c r="D29" s="10" t="s">
        <v>4</v>
      </c>
      <c r="E29" s="10" t="s">
        <v>12</v>
      </c>
      <c r="F29" s="10" t="s">
        <v>13</v>
      </c>
      <c r="G29" s="11" t="s">
        <v>14</v>
      </c>
    </row>
    <row r="30" spans="3:19" x14ac:dyDescent="0.3">
      <c r="C30" s="12">
        <v>0</v>
      </c>
      <c r="D30" s="13"/>
      <c r="E30" s="13"/>
      <c r="F30" s="13"/>
      <c r="G30" s="50">
        <f>F21</f>
        <v>115000</v>
      </c>
    </row>
    <row r="31" spans="3:19" x14ac:dyDescent="0.3">
      <c r="C31" s="12">
        <v>1</v>
      </c>
      <c r="D31" s="14">
        <f>PMT(Rate/Periods,Term*Periods,-F21,F24)</f>
        <v>2379.4219107024401</v>
      </c>
      <c r="E31" s="13">
        <f t="shared" ref="E31:E62" si="0">IF(C31&gt;Term*Periods,"",G30*Rate/Periods)</f>
        <v>651.66666666666674</v>
      </c>
      <c r="F31" s="14">
        <f t="shared" ref="F31:F62" si="1">IF(C31&gt;Term*Periods,"",D31-E31)</f>
        <v>1727.7552440357733</v>
      </c>
      <c r="G31" s="13">
        <f t="shared" ref="G31:G62" si="2">IF(C31&gt;Term*Periods,"",G30-F31)</f>
        <v>113272.24475596423</v>
      </c>
      <c r="K31" t="s">
        <v>15</v>
      </c>
    </row>
    <row r="32" spans="3:19" x14ac:dyDescent="0.3">
      <c r="C32" s="12">
        <v>2</v>
      </c>
      <c r="D32" s="14">
        <f t="shared" ref="D32:D63" si="3">IF(C32&gt;Term*Periods,"",IF(C32=Term*Periods,$D$31+$F$24,$D$31))</f>
        <v>2379.4219107024401</v>
      </c>
      <c r="E32" s="13">
        <f t="shared" si="0"/>
        <v>641.87605361713065</v>
      </c>
      <c r="F32" s="14">
        <f t="shared" si="1"/>
        <v>1737.5458570853093</v>
      </c>
      <c r="G32" s="13">
        <f t="shared" si="2"/>
        <v>111534.69889887892</v>
      </c>
    </row>
    <row r="33" spans="3:7" x14ac:dyDescent="0.3">
      <c r="C33" s="12">
        <v>3</v>
      </c>
      <c r="D33" s="14">
        <f t="shared" si="3"/>
        <v>2379.4219107024401</v>
      </c>
      <c r="E33" s="13">
        <f t="shared" si="0"/>
        <v>632.02996042698067</v>
      </c>
      <c r="F33" s="14">
        <f t="shared" si="1"/>
        <v>1747.3919502754593</v>
      </c>
      <c r="G33" s="13">
        <f t="shared" si="2"/>
        <v>109787.30694860347</v>
      </c>
    </row>
    <row r="34" spans="3:7" x14ac:dyDescent="0.3">
      <c r="C34" s="12">
        <v>4</v>
      </c>
      <c r="D34" s="14">
        <f t="shared" si="3"/>
        <v>2379.4219107024401</v>
      </c>
      <c r="E34" s="13">
        <f t="shared" si="0"/>
        <v>622.12807270875305</v>
      </c>
      <c r="F34" s="14">
        <f t="shared" si="1"/>
        <v>1757.293837993687</v>
      </c>
      <c r="G34" s="13">
        <f t="shared" si="2"/>
        <v>108030.01311060978</v>
      </c>
    </row>
    <row r="35" spans="3:7" x14ac:dyDescent="0.3">
      <c r="C35" s="12">
        <v>5</v>
      </c>
      <c r="D35" s="14">
        <f t="shared" si="3"/>
        <v>2379.4219107024401</v>
      </c>
      <c r="E35" s="13">
        <f t="shared" si="0"/>
        <v>612.17007429345551</v>
      </c>
      <c r="F35" s="14">
        <f t="shared" si="1"/>
        <v>1767.2518364089847</v>
      </c>
      <c r="G35" s="13">
        <f t="shared" si="2"/>
        <v>106262.76127420081</v>
      </c>
    </row>
    <row r="36" spans="3:7" x14ac:dyDescent="0.3">
      <c r="C36" s="12">
        <v>6</v>
      </c>
      <c r="D36" s="14">
        <f t="shared" si="3"/>
        <v>2379.4219107024401</v>
      </c>
      <c r="E36" s="13">
        <f t="shared" si="0"/>
        <v>602.15564722047122</v>
      </c>
      <c r="F36" s="14">
        <f t="shared" si="1"/>
        <v>1777.266263481969</v>
      </c>
      <c r="G36" s="13">
        <f t="shared" si="2"/>
        <v>104485.49501071883</v>
      </c>
    </row>
    <row r="37" spans="3:7" x14ac:dyDescent="0.3">
      <c r="C37" s="12">
        <v>7</v>
      </c>
      <c r="D37" s="14">
        <f t="shared" si="3"/>
        <v>2379.4219107024401</v>
      </c>
      <c r="E37" s="13">
        <f t="shared" si="0"/>
        <v>592.08447172740682</v>
      </c>
      <c r="F37" s="14">
        <f t="shared" si="1"/>
        <v>1787.3374389750334</v>
      </c>
      <c r="G37" s="13">
        <f t="shared" si="2"/>
        <v>102698.1575717438</v>
      </c>
    </row>
    <row r="38" spans="3:7" x14ac:dyDescent="0.3">
      <c r="C38" s="12">
        <v>8</v>
      </c>
      <c r="D38" s="14">
        <f t="shared" si="3"/>
        <v>2379.4219107024401</v>
      </c>
      <c r="E38" s="13">
        <f t="shared" si="0"/>
        <v>581.95622623988152</v>
      </c>
      <c r="F38" s="14">
        <f t="shared" si="1"/>
        <v>1797.4656844625586</v>
      </c>
      <c r="G38" s="13">
        <f t="shared" si="2"/>
        <v>100900.69188728124</v>
      </c>
    </row>
    <row r="39" spans="3:7" x14ac:dyDescent="0.3">
      <c r="C39" s="12">
        <v>9</v>
      </c>
      <c r="D39" s="14">
        <f t="shared" si="3"/>
        <v>2379.4219107024401</v>
      </c>
      <c r="E39" s="13">
        <f t="shared" si="0"/>
        <v>571.77058736126037</v>
      </c>
      <c r="F39" s="14">
        <f t="shared" si="1"/>
        <v>1807.6513233411797</v>
      </c>
      <c r="G39" s="13">
        <f t="shared" si="2"/>
        <v>99093.040563940056</v>
      </c>
    </row>
    <row r="40" spans="3:7" x14ac:dyDescent="0.3">
      <c r="C40" s="12">
        <v>10</v>
      </c>
      <c r="D40" s="14">
        <f t="shared" si="3"/>
        <v>2379.4219107024401</v>
      </c>
      <c r="E40" s="13">
        <f t="shared" si="0"/>
        <v>561.52722986232709</v>
      </c>
      <c r="F40" s="14">
        <f t="shared" si="1"/>
        <v>1817.8946808401129</v>
      </c>
      <c r="G40" s="13">
        <f t="shared" si="2"/>
        <v>97275.145883099947</v>
      </c>
    </row>
    <row r="41" spans="3:7" x14ac:dyDescent="0.3">
      <c r="C41" s="12">
        <v>11</v>
      </c>
      <c r="D41" s="14">
        <f t="shared" si="3"/>
        <v>2379.4219107024401</v>
      </c>
      <c r="E41" s="13">
        <f t="shared" si="0"/>
        <v>551.22582667089978</v>
      </c>
      <c r="F41" s="14">
        <f t="shared" si="1"/>
        <v>1828.1960840315403</v>
      </c>
      <c r="G41" s="13">
        <f t="shared" si="2"/>
        <v>95446.949799068403</v>
      </c>
    </row>
    <row r="42" spans="3:7" x14ac:dyDescent="0.3">
      <c r="C42" s="12">
        <v>12</v>
      </c>
      <c r="D42" s="14">
        <f t="shared" si="3"/>
        <v>2379.4219107024401</v>
      </c>
      <c r="E42" s="13">
        <f t="shared" si="0"/>
        <v>540.86604886138764</v>
      </c>
      <c r="F42" s="14">
        <f t="shared" si="1"/>
        <v>1838.5558618410523</v>
      </c>
      <c r="G42" s="13">
        <f t="shared" si="2"/>
        <v>93608.393937227345</v>
      </c>
    </row>
    <row r="43" spans="3:7" x14ac:dyDescent="0.3">
      <c r="C43" s="12">
        <v>13</v>
      </c>
      <c r="D43" s="14">
        <f t="shared" si="3"/>
        <v>2379.4219107024401</v>
      </c>
      <c r="E43" s="13">
        <f t="shared" si="0"/>
        <v>530.44756564428837</v>
      </c>
      <c r="F43" s="14">
        <f t="shared" si="1"/>
        <v>1848.9743450581518</v>
      </c>
      <c r="G43" s="13">
        <f t="shared" si="2"/>
        <v>91759.419592169201</v>
      </c>
    </row>
    <row r="44" spans="3:7" x14ac:dyDescent="0.3">
      <c r="C44" s="12">
        <v>14</v>
      </c>
      <c r="D44" s="14">
        <f t="shared" si="3"/>
        <v>2379.4219107024401</v>
      </c>
      <c r="E44" s="13">
        <f t="shared" si="0"/>
        <v>519.97004435562553</v>
      </c>
      <c r="F44" s="14">
        <f t="shared" si="1"/>
        <v>1859.4518663468145</v>
      </c>
      <c r="G44" s="13">
        <f t="shared" si="2"/>
        <v>89899.967725822382</v>
      </c>
    </row>
    <row r="45" spans="3:7" x14ac:dyDescent="0.3">
      <c r="C45" s="12">
        <v>15</v>
      </c>
      <c r="D45" s="14">
        <f t="shared" si="3"/>
        <v>2379.4219107024401</v>
      </c>
      <c r="E45" s="13">
        <f t="shared" si="0"/>
        <v>509.43315044632686</v>
      </c>
      <c r="F45" s="14">
        <f t="shared" si="1"/>
        <v>1869.9887602561132</v>
      </c>
      <c r="G45" s="13">
        <f t="shared" si="2"/>
        <v>88029.978965566275</v>
      </c>
    </row>
    <row r="46" spans="3:7" x14ac:dyDescent="0.3">
      <c r="C46" s="12">
        <v>16</v>
      </c>
      <c r="D46" s="14">
        <f t="shared" si="3"/>
        <v>2379.4219107024401</v>
      </c>
      <c r="E46" s="13">
        <f t="shared" si="0"/>
        <v>498.83654747154225</v>
      </c>
      <c r="F46" s="14">
        <f t="shared" si="1"/>
        <v>1880.5853632308979</v>
      </c>
      <c r="G46" s="13">
        <f t="shared" si="2"/>
        <v>86149.393602335374</v>
      </c>
    </row>
    <row r="47" spans="3:7" x14ac:dyDescent="0.3">
      <c r="C47" s="12">
        <v>17</v>
      </c>
      <c r="D47" s="14">
        <f t="shared" si="3"/>
        <v>2379.4219107024401</v>
      </c>
      <c r="E47" s="13">
        <f t="shared" si="0"/>
        <v>488.17989707990046</v>
      </c>
      <c r="F47" s="14">
        <f t="shared" si="1"/>
        <v>1891.2420136225396</v>
      </c>
      <c r="G47" s="13">
        <f t="shared" si="2"/>
        <v>84258.151588712833</v>
      </c>
    </row>
    <row r="48" spans="3:7" x14ac:dyDescent="0.3">
      <c r="C48" s="12">
        <v>18</v>
      </c>
      <c r="D48" s="14">
        <f t="shared" si="3"/>
        <v>2379.4219107024401</v>
      </c>
      <c r="E48" s="13">
        <f t="shared" si="0"/>
        <v>477.46285900270613</v>
      </c>
      <c r="F48" s="14">
        <f t="shared" si="1"/>
        <v>1901.9590516997339</v>
      </c>
      <c r="G48" s="13">
        <f t="shared" si="2"/>
        <v>82356.192537013107</v>
      </c>
    </row>
    <row r="49" spans="3:7" x14ac:dyDescent="0.3">
      <c r="C49" s="12">
        <v>19</v>
      </c>
      <c r="D49" s="14">
        <f t="shared" si="3"/>
        <v>2379.4219107024401</v>
      </c>
      <c r="E49" s="13">
        <f t="shared" si="0"/>
        <v>466.68509104307435</v>
      </c>
      <c r="F49" s="14">
        <f t="shared" si="1"/>
        <v>1912.7368196593657</v>
      </c>
      <c r="G49" s="13">
        <f t="shared" si="2"/>
        <v>80443.455717353747</v>
      </c>
    </row>
    <row r="50" spans="3:7" x14ac:dyDescent="0.3">
      <c r="C50" s="12">
        <v>20</v>
      </c>
      <c r="D50" s="14">
        <f t="shared" si="3"/>
        <v>2379.4219107024401</v>
      </c>
      <c r="E50" s="13">
        <f t="shared" si="0"/>
        <v>455.84624906500454</v>
      </c>
      <c r="F50" s="14">
        <f t="shared" si="1"/>
        <v>1923.5756616374356</v>
      </c>
      <c r="G50" s="13">
        <f t="shared" si="2"/>
        <v>78519.880055716305</v>
      </c>
    </row>
    <row r="51" spans="3:7" x14ac:dyDescent="0.3">
      <c r="C51" s="12">
        <v>21</v>
      </c>
      <c r="D51" s="14">
        <f t="shared" si="3"/>
        <v>2379.4219107024401</v>
      </c>
      <c r="E51" s="13">
        <f t="shared" si="0"/>
        <v>444.94598698239241</v>
      </c>
      <c r="F51" s="14">
        <f t="shared" si="1"/>
        <v>1934.4759237200476</v>
      </c>
      <c r="G51" s="13">
        <f t="shared" si="2"/>
        <v>76585.404131996256</v>
      </c>
    </row>
    <row r="52" spans="3:7" x14ac:dyDescent="0.3">
      <c r="C52" s="12">
        <v>22</v>
      </c>
      <c r="D52" s="14">
        <f t="shared" si="3"/>
        <v>2379.4219107024401</v>
      </c>
      <c r="E52" s="13">
        <f t="shared" si="0"/>
        <v>433.98395674797877</v>
      </c>
      <c r="F52" s="14">
        <f t="shared" si="1"/>
        <v>1945.4379539544614</v>
      </c>
      <c r="G52" s="13">
        <f t="shared" si="2"/>
        <v>74639.966178041796</v>
      </c>
    </row>
    <row r="53" spans="3:7" x14ac:dyDescent="0.3">
      <c r="C53" s="12">
        <v>23</v>
      </c>
      <c r="D53" s="14">
        <f t="shared" si="3"/>
        <v>2379.4219107024401</v>
      </c>
      <c r="E53" s="13">
        <f t="shared" si="0"/>
        <v>422.95980834223684</v>
      </c>
      <c r="F53" s="14">
        <f t="shared" si="1"/>
        <v>1956.4621023602033</v>
      </c>
      <c r="G53" s="13">
        <f t="shared" si="2"/>
        <v>72683.504075681587</v>
      </c>
    </row>
    <row r="54" spans="3:7" x14ac:dyDescent="0.3">
      <c r="C54" s="12">
        <v>24</v>
      </c>
      <c r="D54" s="14">
        <f t="shared" si="3"/>
        <v>2379.4219107024401</v>
      </c>
      <c r="E54" s="13">
        <f t="shared" si="0"/>
        <v>411.87318976219564</v>
      </c>
      <c r="F54" s="14">
        <f t="shared" si="1"/>
        <v>1967.5487209402445</v>
      </c>
      <c r="G54" s="13">
        <f t="shared" si="2"/>
        <v>70715.955354741338</v>
      </c>
    </row>
    <row r="55" spans="3:7" x14ac:dyDescent="0.3">
      <c r="C55" s="12">
        <v>25</v>
      </c>
      <c r="D55" s="14">
        <f t="shared" si="3"/>
        <v>2379.4219107024401</v>
      </c>
      <c r="E55" s="13">
        <f t="shared" si="0"/>
        <v>400.72374701020095</v>
      </c>
      <c r="F55" s="14">
        <f t="shared" si="1"/>
        <v>1978.6981636922392</v>
      </c>
      <c r="G55" s="13">
        <f t="shared" si="2"/>
        <v>68737.257191049095</v>
      </c>
    </row>
    <row r="56" spans="3:7" x14ac:dyDescent="0.3">
      <c r="C56" s="12">
        <v>26</v>
      </c>
      <c r="D56" s="14">
        <f t="shared" si="3"/>
        <v>2379.4219107024401</v>
      </c>
      <c r="E56" s="13">
        <f t="shared" si="0"/>
        <v>389.51112408261156</v>
      </c>
      <c r="F56" s="14">
        <f t="shared" si="1"/>
        <v>1989.9107866198285</v>
      </c>
      <c r="G56" s="13">
        <f t="shared" si="2"/>
        <v>66747.346404429263</v>
      </c>
    </row>
    <row r="57" spans="3:7" x14ac:dyDescent="0.3">
      <c r="C57" s="12">
        <v>27</v>
      </c>
      <c r="D57" s="14">
        <f t="shared" si="3"/>
        <v>2379.4219107024401</v>
      </c>
      <c r="E57" s="13">
        <f t="shared" si="0"/>
        <v>378.2349629584325</v>
      </c>
      <c r="F57" s="14">
        <f t="shared" si="1"/>
        <v>2001.1869477440075</v>
      </c>
      <c r="G57" s="13">
        <f t="shared" si="2"/>
        <v>64746.159456685258</v>
      </c>
    </row>
    <row r="58" spans="3:7" x14ac:dyDescent="0.3">
      <c r="C58" s="12">
        <v>28</v>
      </c>
      <c r="D58" s="14">
        <f t="shared" si="3"/>
        <v>2379.4219107024401</v>
      </c>
      <c r="E58" s="13">
        <f t="shared" si="0"/>
        <v>366.89490358788316</v>
      </c>
      <c r="F58" s="14">
        <f t="shared" si="1"/>
        <v>2012.5270071145569</v>
      </c>
      <c r="G58" s="13">
        <f t="shared" si="2"/>
        <v>62733.632449570701</v>
      </c>
    </row>
    <row r="59" spans="3:7" x14ac:dyDescent="0.3">
      <c r="C59" s="12">
        <v>29</v>
      </c>
      <c r="D59" s="14">
        <f t="shared" si="3"/>
        <v>2379.4219107024401</v>
      </c>
      <c r="E59" s="13">
        <f t="shared" si="0"/>
        <v>355.49058388090066</v>
      </c>
      <c r="F59" s="14">
        <f t="shared" si="1"/>
        <v>2023.9313268215394</v>
      </c>
      <c r="G59" s="13">
        <f t="shared" si="2"/>
        <v>60709.70112274916</v>
      </c>
    </row>
    <row r="60" spans="3:7" x14ac:dyDescent="0.3">
      <c r="C60" s="12">
        <v>30</v>
      </c>
      <c r="D60" s="14">
        <f t="shared" si="3"/>
        <v>2379.4219107024401</v>
      </c>
      <c r="E60" s="13">
        <f t="shared" si="0"/>
        <v>344.02163969557859</v>
      </c>
      <c r="F60" s="14">
        <f t="shared" si="1"/>
        <v>2035.4002710068614</v>
      </c>
      <c r="G60" s="13">
        <f t="shared" si="2"/>
        <v>58674.3008517423</v>
      </c>
    </row>
    <row r="61" spans="3:7" x14ac:dyDescent="0.3">
      <c r="C61" s="12">
        <v>31</v>
      </c>
      <c r="D61" s="14">
        <f t="shared" si="3"/>
        <v>2379.4219107024401</v>
      </c>
      <c r="E61" s="13">
        <f t="shared" si="0"/>
        <v>332.48770482653975</v>
      </c>
      <c r="F61" s="14">
        <f t="shared" si="1"/>
        <v>2046.9342058759003</v>
      </c>
      <c r="G61" s="13">
        <f t="shared" si="2"/>
        <v>56627.366645866401</v>
      </c>
    </row>
    <row r="62" spans="3:7" x14ac:dyDescent="0.3">
      <c r="C62" s="12">
        <v>32</v>
      </c>
      <c r="D62" s="14">
        <f t="shared" si="3"/>
        <v>2379.4219107024401</v>
      </c>
      <c r="E62" s="13">
        <f t="shared" si="0"/>
        <v>320.88841099324299</v>
      </c>
      <c r="F62" s="14">
        <f t="shared" si="1"/>
        <v>2058.5334997091973</v>
      </c>
      <c r="G62" s="13">
        <f t="shared" si="2"/>
        <v>54568.833146157202</v>
      </c>
    </row>
    <row r="63" spans="3:7" x14ac:dyDescent="0.3">
      <c r="C63" s="12">
        <v>33</v>
      </c>
      <c r="D63" s="14">
        <f t="shared" si="3"/>
        <v>2379.4219107024401</v>
      </c>
      <c r="E63" s="13">
        <f t="shared" ref="E63:E90" si="4">IF(C63&gt;Term*Periods,"",G62*Rate/Periods)</f>
        <v>309.22338782822413</v>
      </c>
      <c r="F63" s="14">
        <f t="shared" ref="F63:F90" si="5">IF(C63&gt;Term*Periods,"",D63-E63)</f>
        <v>2070.198522874216</v>
      </c>
      <c r="G63" s="13">
        <f t="shared" ref="G63:G90" si="6">IF(C63&gt;Term*Periods,"",G62-F63)</f>
        <v>52498.634623282982</v>
      </c>
    </row>
    <row r="64" spans="3:7" x14ac:dyDescent="0.3">
      <c r="C64" s="12">
        <v>34</v>
      </c>
      <c r="D64" s="14">
        <f t="shared" ref="D64:D90" si="7">IF(C64&gt;Term*Periods,"",IF(C64=Term*Periods,$D$31+$F$24,$D$31))</f>
        <v>2379.4219107024401</v>
      </c>
      <c r="E64" s="13">
        <f t="shared" si="4"/>
        <v>297.49226286527022</v>
      </c>
      <c r="F64" s="14">
        <f t="shared" si="5"/>
        <v>2081.9296478371698</v>
      </c>
      <c r="G64" s="13">
        <f t="shared" si="6"/>
        <v>50416.704975445813</v>
      </c>
    </row>
    <row r="65" spans="3:7" x14ac:dyDescent="0.3">
      <c r="C65" s="12">
        <v>35</v>
      </c>
      <c r="D65" s="14">
        <f t="shared" si="7"/>
        <v>2379.4219107024401</v>
      </c>
      <c r="E65" s="13">
        <f t="shared" si="4"/>
        <v>285.69466152752631</v>
      </c>
      <c r="F65" s="14">
        <f t="shared" si="5"/>
        <v>2093.7272491749136</v>
      </c>
      <c r="G65" s="13">
        <f t="shared" si="6"/>
        <v>48322.977726270896</v>
      </c>
    </row>
    <row r="66" spans="3:7" x14ac:dyDescent="0.3">
      <c r="C66" s="12">
        <v>36</v>
      </c>
      <c r="D66" s="14">
        <f t="shared" si="7"/>
        <v>2379.4219107024401</v>
      </c>
      <c r="E66" s="13">
        <f t="shared" si="4"/>
        <v>273.83020711553507</v>
      </c>
      <c r="F66" s="14">
        <f t="shared" si="5"/>
        <v>2105.5917035869052</v>
      </c>
      <c r="G66" s="13">
        <f t="shared" si="6"/>
        <v>46217.38602268399</v>
      </c>
    </row>
    <row r="67" spans="3:7" x14ac:dyDescent="0.3">
      <c r="C67" s="12">
        <v>37</v>
      </c>
      <c r="D67" s="14">
        <f t="shared" si="7"/>
        <v>2379.4219107024401</v>
      </c>
      <c r="E67" s="13">
        <f t="shared" si="4"/>
        <v>261.89852079520932</v>
      </c>
      <c r="F67" s="14">
        <f t="shared" si="5"/>
        <v>2117.5233899072309</v>
      </c>
      <c r="G67" s="13">
        <f t="shared" si="6"/>
        <v>44099.862632776756</v>
      </c>
    </row>
    <row r="68" spans="3:7" x14ac:dyDescent="0.3">
      <c r="C68" s="12">
        <v>38</v>
      </c>
      <c r="D68" s="14">
        <f t="shared" si="7"/>
        <v>2379.4219107024401</v>
      </c>
      <c r="E68" s="13">
        <f t="shared" si="4"/>
        <v>249.89922158573498</v>
      </c>
      <c r="F68" s="14">
        <f t="shared" si="5"/>
        <v>2129.5226891167049</v>
      </c>
      <c r="G68" s="13">
        <f t="shared" si="6"/>
        <v>41970.339943660052</v>
      </c>
    </row>
    <row r="69" spans="3:7" x14ac:dyDescent="0.3">
      <c r="C69" s="12">
        <v>39</v>
      </c>
      <c r="D69" s="14">
        <f t="shared" si="7"/>
        <v>2379.4219107024401</v>
      </c>
      <c r="E69" s="13">
        <f t="shared" si="4"/>
        <v>237.83192634740701</v>
      </c>
      <c r="F69" s="14">
        <f t="shared" si="5"/>
        <v>2141.5899843550333</v>
      </c>
      <c r="G69" s="13">
        <f t="shared" si="6"/>
        <v>39828.749959305016</v>
      </c>
    </row>
    <row r="70" spans="3:7" x14ac:dyDescent="0.3">
      <c r="C70" s="12">
        <v>40</v>
      </c>
      <c r="D70" s="14">
        <f t="shared" si="7"/>
        <v>2379.4219107024401</v>
      </c>
      <c r="E70" s="13">
        <f t="shared" si="4"/>
        <v>225.69624976939511</v>
      </c>
      <c r="F70" s="14">
        <f t="shared" si="5"/>
        <v>2153.7256609330448</v>
      </c>
      <c r="G70" s="13">
        <f t="shared" si="6"/>
        <v>37675.024298371973</v>
      </c>
    </row>
    <row r="71" spans="3:7" x14ac:dyDescent="0.3">
      <c r="C71" s="12">
        <v>41</v>
      </c>
      <c r="D71" s="14">
        <f t="shared" si="7"/>
        <v>2379.4219107024401</v>
      </c>
      <c r="E71" s="13">
        <f t="shared" si="4"/>
        <v>213.4918043574412</v>
      </c>
      <c r="F71" s="14">
        <f t="shared" si="5"/>
        <v>2165.9301063449989</v>
      </c>
      <c r="G71" s="13">
        <f t="shared" si="6"/>
        <v>35509.094192026976</v>
      </c>
    </row>
    <row r="72" spans="3:7" x14ac:dyDescent="0.3">
      <c r="C72" s="12">
        <v>42</v>
      </c>
      <c r="D72" s="14">
        <f t="shared" si="7"/>
        <v>2379.4219107024401</v>
      </c>
      <c r="E72" s="13">
        <f t="shared" si="4"/>
        <v>201.21820042148622</v>
      </c>
      <c r="F72" s="14">
        <f t="shared" si="5"/>
        <v>2178.2037102809541</v>
      </c>
      <c r="G72" s="13">
        <f t="shared" si="6"/>
        <v>33330.890481746021</v>
      </c>
    </row>
    <row r="73" spans="3:7" x14ac:dyDescent="0.3">
      <c r="C73" s="12">
        <v>43</v>
      </c>
      <c r="D73" s="14">
        <f t="shared" si="7"/>
        <v>2379.4219107024401</v>
      </c>
      <c r="E73" s="13">
        <f t="shared" si="4"/>
        <v>188.87504606322747</v>
      </c>
      <c r="F73" s="14">
        <f t="shared" si="5"/>
        <v>2190.5468646392128</v>
      </c>
      <c r="G73" s="13">
        <f t="shared" si="6"/>
        <v>31140.34361710681</v>
      </c>
    </row>
    <row r="74" spans="3:7" x14ac:dyDescent="0.3">
      <c r="C74" s="12">
        <v>44</v>
      </c>
      <c r="D74" s="14">
        <f t="shared" si="7"/>
        <v>2379.4219107024401</v>
      </c>
      <c r="E74" s="13">
        <f t="shared" si="4"/>
        <v>176.46194716360526</v>
      </c>
      <c r="F74" s="14">
        <f t="shared" si="5"/>
        <v>2202.9599635388349</v>
      </c>
      <c r="G74" s="13">
        <f t="shared" si="6"/>
        <v>28937.383653567973</v>
      </c>
    </row>
    <row r="75" spans="3:7" x14ac:dyDescent="0.3">
      <c r="C75" s="12">
        <v>45</v>
      </c>
      <c r="D75" s="14">
        <f t="shared" si="7"/>
        <v>2379.4219107024401</v>
      </c>
      <c r="E75" s="13">
        <f t="shared" si="4"/>
        <v>163.97850737021852</v>
      </c>
      <c r="F75" s="14">
        <f t="shared" si="5"/>
        <v>2215.4434033322214</v>
      </c>
      <c r="G75" s="13">
        <f t="shared" si="6"/>
        <v>26721.940250235752</v>
      </c>
    </row>
    <row r="76" spans="3:7" x14ac:dyDescent="0.3">
      <c r="C76" s="12">
        <v>46</v>
      </c>
      <c r="D76" s="14">
        <f t="shared" si="7"/>
        <v>2379.4219107024401</v>
      </c>
      <c r="E76" s="13">
        <f t="shared" si="4"/>
        <v>151.42432808466927</v>
      </c>
      <c r="F76" s="14">
        <f t="shared" si="5"/>
        <v>2227.9975826177706</v>
      </c>
      <c r="G76" s="13">
        <f t="shared" si="6"/>
        <v>24493.942667617979</v>
      </c>
    </row>
    <row r="77" spans="3:7" x14ac:dyDescent="0.3">
      <c r="C77" s="12">
        <v>47</v>
      </c>
      <c r="D77" s="14">
        <f t="shared" si="7"/>
        <v>2379.4219107024401</v>
      </c>
      <c r="E77" s="13">
        <f t="shared" si="4"/>
        <v>138.79900844983521</v>
      </c>
      <c r="F77" s="14">
        <f t="shared" si="5"/>
        <v>2240.6229022526049</v>
      </c>
      <c r="G77" s="13">
        <f t="shared" si="6"/>
        <v>22253.319765365373</v>
      </c>
    </row>
    <row r="78" spans="3:7" x14ac:dyDescent="0.3">
      <c r="C78" s="12">
        <v>48</v>
      </c>
      <c r="D78" s="14">
        <f t="shared" si="7"/>
        <v>22379.42191070244</v>
      </c>
      <c r="E78" s="13">
        <f t="shared" si="4"/>
        <v>126.10214533707045</v>
      </c>
      <c r="F78" s="14">
        <f t="shared" si="5"/>
        <v>22253.31976536537</v>
      </c>
      <c r="G78" s="13">
        <f t="shared" si="6"/>
        <v>3.637978807091713E-12</v>
      </c>
    </row>
    <row r="79" spans="3:7" x14ac:dyDescent="0.3">
      <c r="C79" s="12">
        <v>49</v>
      </c>
      <c r="D79" s="14" t="str">
        <f t="shared" si="7"/>
        <v/>
      </c>
      <c r="E79" s="13" t="str">
        <f t="shared" si="4"/>
        <v/>
      </c>
      <c r="F79" s="14" t="str">
        <f t="shared" si="5"/>
        <v/>
      </c>
      <c r="G79" s="13" t="str">
        <f t="shared" si="6"/>
        <v/>
      </c>
    </row>
    <row r="80" spans="3:7" x14ac:dyDescent="0.3">
      <c r="C80" s="12">
        <v>50</v>
      </c>
      <c r="D80" s="14" t="str">
        <f t="shared" si="7"/>
        <v/>
      </c>
      <c r="E80" s="13" t="str">
        <f t="shared" si="4"/>
        <v/>
      </c>
      <c r="F80" s="14" t="str">
        <f t="shared" si="5"/>
        <v/>
      </c>
      <c r="G80" s="13" t="str">
        <f t="shared" si="6"/>
        <v/>
      </c>
    </row>
    <row r="81" spans="3:7" x14ac:dyDescent="0.3">
      <c r="C81" s="12">
        <v>51</v>
      </c>
      <c r="D81" s="14" t="str">
        <f t="shared" si="7"/>
        <v/>
      </c>
      <c r="E81" s="13" t="str">
        <f t="shared" si="4"/>
        <v/>
      </c>
      <c r="F81" s="14" t="str">
        <f t="shared" si="5"/>
        <v/>
      </c>
      <c r="G81" s="13" t="str">
        <f t="shared" si="6"/>
        <v/>
      </c>
    </row>
    <row r="82" spans="3:7" x14ac:dyDescent="0.3">
      <c r="C82" s="12">
        <v>52</v>
      </c>
      <c r="D82" s="14" t="str">
        <f t="shared" si="7"/>
        <v/>
      </c>
      <c r="E82" s="13" t="str">
        <f t="shared" si="4"/>
        <v/>
      </c>
      <c r="F82" s="14" t="str">
        <f t="shared" si="5"/>
        <v/>
      </c>
      <c r="G82" s="13" t="str">
        <f t="shared" si="6"/>
        <v/>
      </c>
    </row>
    <row r="83" spans="3:7" x14ac:dyDescent="0.3">
      <c r="C83" s="12">
        <v>53</v>
      </c>
      <c r="D83" s="14" t="str">
        <f t="shared" si="7"/>
        <v/>
      </c>
      <c r="E83" s="13" t="str">
        <f t="shared" si="4"/>
        <v/>
      </c>
      <c r="F83" s="14" t="str">
        <f t="shared" si="5"/>
        <v/>
      </c>
      <c r="G83" s="13" t="str">
        <f t="shared" si="6"/>
        <v/>
      </c>
    </row>
    <row r="84" spans="3:7" x14ac:dyDescent="0.3">
      <c r="C84" s="12">
        <v>54</v>
      </c>
      <c r="D84" s="14" t="str">
        <f t="shared" si="7"/>
        <v/>
      </c>
      <c r="E84" s="13" t="str">
        <f t="shared" si="4"/>
        <v/>
      </c>
      <c r="F84" s="14" t="str">
        <f t="shared" si="5"/>
        <v/>
      </c>
      <c r="G84" s="13" t="str">
        <f t="shared" si="6"/>
        <v/>
      </c>
    </row>
    <row r="85" spans="3:7" x14ac:dyDescent="0.3">
      <c r="C85" s="12">
        <v>55</v>
      </c>
      <c r="D85" s="14" t="str">
        <f t="shared" si="7"/>
        <v/>
      </c>
      <c r="E85" s="13" t="str">
        <f t="shared" si="4"/>
        <v/>
      </c>
      <c r="F85" s="14" t="str">
        <f t="shared" si="5"/>
        <v/>
      </c>
      <c r="G85" s="13" t="str">
        <f t="shared" si="6"/>
        <v/>
      </c>
    </row>
    <row r="86" spans="3:7" x14ac:dyDescent="0.3">
      <c r="C86" s="12">
        <v>56</v>
      </c>
      <c r="D86" s="14" t="str">
        <f t="shared" si="7"/>
        <v/>
      </c>
      <c r="E86" s="13" t="str">
        <f t="shared" si="4"/>
        <v/>
      </c>
      <c r="F86" s="14" t="str">
        <f t="shared" si="5"/>
        <v/>
      </c>
      <c r="G86" s="13" t="str">
        <f t="shared" si="6"/>
        <v/>
      </c>
    </row>
    <row r="87" spans="3:7" x14ac:dyDescent="0.3">
      <c r="C87" s="12">
        <v>57</v>
      </c>
      <c r="D87" s="14" t="str">
        <f t="shared" si="7"/>
        <v/>
      </c>
      <c r="E87" s="13" t="str">
        <f t="shared" si="4"/>
        <v/>
      </c>
      <c r="F87" s="14" t="str">
        <f t="shared" si="5"/>
        <v/>
      </c>
      <c r="G87" s="13" t="str">
        <f t="shared" si="6"/>
        <v/>
      </c>
    </row>
    <row r="88" spans="3:7" x14ac:dyDescent="0.3">
      <c r="C88" s="12">
        <v>58</v>
      </c>
      <c r="D88" s="14" t="str">
        <f t="shared" si="7"/>
        <v/>
      </c>
      <c r="E88" s="13" t="str">
        <f t="shared" si="4"/>
        <v/>
      </c>
      <c r="F88" s="14" t="str">
        <f t="shared" si="5"/>
        <v/>
      </c>
      <c r="G88" s="13" t="str">
        <f t="shared" si="6"/>
        <v/>
      </c>
    </row>
    <row r="89" spans="3:7" x14ac:dyDescent="0.3">
      <c r="C89" s="12">
        <v>59</v>
      </c>
      <c r="D89" s="14" t="str">
        <f t="shared" si="7"/>
        <v/>
      </c>
      <c r="E89" s="13" t="str">
        <f t="shared" si="4"/>
        <v/>
      </c>
      <c r="F89" s="14" t="str">
        <f t="shared" si="5"/>
        <v/>
      </c>
      <c r="G89" s="13" t="str">
        <f t="shared" si="6"/>
        <v/>
      </c>
    </row>
    <row r="90" spans="3:7" x14ac:dyDescent="0.3">
      <c r="C90" s="12">
        <v>60</v>
      </c>
      <c r="D90" s="14" t="str">
        <f t="shared" si="7"/>
        <v/>
      </c>
      <c r="E90" s="13" t="str">
        <f t="shared" si="4"/>
        <v/>
      </c>
      <c r="F90" s="14" t="str">
        <f t="shared" si="5"/>
        <v/>
      </c>
      <c r="G90" s="13" t="str">
        <f t="shared" si="6"/>
        <v/>
      </c>
    </row>
  </sheetData>
  <dataValidations count="5">
    <dataValidation type="list" allowBlank="1" showInputMessage="1" showErrorMessage="1" sqref="F25">
      <formula1>$N$21:$N$23</formula1>
    </dataValidation>
    <dataValidation type="list" allowBlank="1" showInputMessage="1" showErrorMessage="1" prompt="Select a value from the drop-down list._x000a_" sqref="F22">
      <formula1>$P$21:$P$25</formula1>
    </dataValidation>
    <dataValidation type="whole" operator="greaterThan" allowBlank="1" showInputMessage="1" showErrorMessage="1" prompt="This value must be a positive number greater than zero." sqref="F21">
      <formula1>0</formula1>
    </dataValidation>
    <dataValidation type="decimal" allowBlank="1" showInputMessage="1" showErrorMessage="1" prompt="This interest rate must be between 5% and 15%." sqref="F23">
      <formula1>0.05</formula1>
      <formula2>0.15</formula2>
    </dataValidation>
    <dataValidation type="whole" allowBlank="1" showInputMessage="1" showErrorMessage="1" prompt="This input must be between zero and the total amount of the loan." sqref="F24">
      <formula1>0</formula1>
      <formula2>F21</formula2>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8:G31"/>
  <sheetViews>
    <sheetView topLeftCell="A11" zoomScale="115" zoomScaleNormal="115" workbookViewId="0">
      <selection activeCell="C21" sqref="C21"/>
    </sheetView>
  </sheetViews>
  <sheetFormatPr defaultColWidth="8.77734375" defaultRowHeight="14.4" x14ac:dyDescent="0.3"/>
  <cols>
    <col min="1" max="1" width="8.77734375" style="46"/>
    <col min="2" max="2" width="29.21875" style="46" customWidth="1"/>
    <col min="3" max="3" width="12.77734375" style="46" customWidth="1"/>
    <col min="4" max="4" width="2.5546875" style="46" customWidth="1"/>
    <col min="5" max="5" width="15.77734375" style="46" customWidth="1"/>
    <col min="6" max="6" width="24" style="46" customWidth="1"/>
    <col min="7" max="7" width="18.44140625" style="46" customWidth="1"/>
    <col min="8" max="16384" width="8.77734375" style="46"/>
  </cols>
  <sheetData>
    <row r="18" spans="2:7" ht="15.75" thickBot="1" x14ac:dyDescent="0.3">
      <c r="B18" s="46" t="s">
        <v>64</v>
      </c>
      <c r="C18" s="47">
        <v>780000</v>
      </c>
      <c r="E18" s="46" t="s">
        <v>85</v>
      </c>
    </row>
    <row r="19" spans="2:7" ht="15.75" thickBot="1" x14ac:dyDescent="0.3">
      <c r="B19" s="46" t="s">
        <v>65</v>
      </c>
      <c r="C19" s="44">
        <v>10</v>
      </c>
      <c r="E19" s="46" t="s">
        <v>86</v>
      </c>
      <c r="G19" s="52">
        <f>PMT(C20/12,C19*12,-C18)</f>
        <v>9670.8837322118688</v>
      </c>
    </row>
    <row r="20" spans="2:7" ht="15" x14ac:dyDescent="0.25">
      <c r="B20" s="46" t="s">
        <v>16</v>
      </c>
      <c r="C20" s="55">
        <v>8.5000000000000006E-2</v>
      </c>
    </row>
    <row r="21" spans="2:7" ht="15" x14ac:dyDescent="0.25">
      <c r="B21" s="46" t="s">
        <v>66</v>
      </c>
      <c r="C21" s="47">
        <v>750</v>
      </c>
      <c r="E21" s="46" t="s">
        <v>84</v>
      </c>
    </row>
    <row r="22" spans="2:7" ht="15" thickBot="1" x14ac:dyDescent="0.4">
      <c r="E22" s="46" t="s">
        <v>67</v>
      </c>
    </row>
    <row r="23" spans="2:7" ht="15" thickBot="1" x14ac:dyDescent="0.4">
      <c r="E23" s="46" t="s">
        <v>87</v>
      </c>
      <c r="G23" s="104">
        <f>NPER(C20/12,G19+C21,-C18)</f>
        <v>107.02437663086586</v>
      </c>
    </row>
    <row r="25" spans="2:7" x14ac:dyDescent="0.3">
      <c r="E25" s="46" t="s">
        <v>68</v>
      </c>
    </row>
    <row r="26" spans="2:7" x14ac:dyDescent="0.3">
      <c r="E26" s="46" t="s">
        <v>69</v>
      </c>
    </row>
    <row r="27" spans="2:7" x14ac:dyDescent="0.3">
      <c r="E27" s="46" t="s">
        <v>70</v>
      </c>
    </row>
    <row r="28" spans="2:7" x14ac:dyDescent="0.3">
      <c r="E28" s="46" t="s">
        <v>71</v>
      </c>
    </row>
    <row r="29" spans="2:7" x14ac:dyDescent="0.3">
      <c r="E29" s="46" t="s">
        <v>72</v>
      </c>
    </row>
    <row r="30" spans="2:7" ht="15" thickBot="1" x14ac:dyDescent="0.35">
      <c r="E30" s="46" t="s">
        <v>73</v>
      </c>
    </row>
    <row r="31" spans="2:7" ht="15" thickBot="1" x14ac:dyDescent="0.35">
      <c r="E31" s="46" t="s">
        <v>74</v>
      </c>
      <c r="G31" s="5">
        <f>(G19*C19*12)-(G23*(G19+C21))</f>
        <v>45217.462482718285</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87"/>
  <sheetViews>
    <sheetView tabSelected="1" topLeftCell="A16" workbookViewId="0">
      <selection activeCell="D35" sqref="D35"/>
    </sheetView>
  </sheetViews>
  <sheetFormatPr defaultRowHeight="14.4" x14ac:dyDescent="0.3"/>
  <cols>
    <col min="1" max="1" width="4.44140625" customWidth="1"/>
    <col min="3" max="3" width="4.77734375" customWidth="1"/>
    <col min="7" max="7" width="13.77734375" customWidth="1"/>
    <col min="8" max="8" width="16.44140625" customWidth="1"/>
    <col min="9" max="9" width="8.5546875" customWidth="1"/>
    <col min="10" max="10" width="16.21875" customWidth="1"/>
    <col min="13" max="13" width="9.77734375" customWidth="1"/>
    <col min="14" max="14" width="16.6640625" style="103" customWidth="1"/>
    <col min="15" max="15" width="14.44140625" customWidth="1"/>
    <col min="16" max="16" width="15.109375" customWidth="1"/>
  </cols>
  <sheetData>
    <row r="2" spans="2:16" ht="14.55" x14ac:dyDescent="0.35">
      <c r="B2" s="106" t="s">
        <v>111</v>
      </c>
      <c r="C2" s="57"/>
      <c r="D2" s="57"/>
      <c r="E2" s="57"/>
      <c r="F2" s="57"/>
      <c r="G2" s="57"/>
      <c r="H2" s="57"/>
      <c r="I2" s="57"/>
      <c r="J2" s="57"/>
      <c r="K2" s="57"/>
    </row>
    <row r="3" spans="2:16" x14ac:dyDescent="0.3">
      <c r="B3" s="106" t="s">
        <v>240</v>
      </c>
      <c r="C3" s="57"/>
      <c r="D3" s="57"/>
      <c r="E3" s="57"/>
      <c r="F3" s="57"/>
      <c r="G3" s="57"/>
      <c r="H3" s="57"/>
      <c r="I3" s="57"/>
      <c r="J3" s="57"/>
      <c r="K3" s="57"/>
    </row>
    <row r="4" spans="2:16" s="118" customFormat="1" ht="21" customHeight="1" x14ac:dyDescent="0.3">
      <c r="B4" s="126" t="s">
        <v>0</v>
      </c>
      <c r="C4" s="118" t="s">
        <v>246</v>
      </c>
      <c r="N4" s="103"/>
    </row>
    <row r="5" spans="2:16" s="118" customFormat="1" x14ac:dyDescent="0.3">
      <c r="B5" s="126" t="s">
        <v>241</v>
      </c>
      <c r="C5" s="118" t="s">
        <v>242</v>
      </c>
      <c r="N5" s="103"/>
    </row>
    <row r="6" spans="2:16" s="118" customFormat="1" x14ac:dyDescent="0.3">
      <c r="B6" s="126" t="s">
        <v>243</v>
      </c>
      <c r="C6" s="118" t="s">
        <v>244</v>
      </c>
      <c r="N6" s="103"/>
    </row>
    <row r="7" spans="2:16" s="118" customFormat="1" x14ac:dyDescent="0.3">
      <c r="B7" s="108"/>
      <c r="C7" s="118" t="s">
        <v>245</v>
      </c>
      <c r="N7" s="103"/>
    </row>
    <row r="8" spans="2:16" s="118" customFormat="1" ht="7.2" customHeight="1" x14ac:dyDescent="0.3">
      <c r="B8" s="108"/>
      <c r="N8" s="103"/>
    </row>
    <row r="9" spans="2:16" ht="24" customHeight="1" x14ac:dyDescent="0.3">
      <c r="B9" s="106" t="s">
        <v>247</v>
      </c>
      <c r="C9" s="57"/>
      <c r="D9" s="57"/>
      <c r="E9" s="57"/>
      <c r="F9" s="57"/>
      <c r="G9" s="57"/>
      <c r="H9" s="57"/>
      <c r="I9" s="57"/>
      <c r="J9" s="57"/>
      <c r="K9" s="57"/>
    </row>
    <row r="10" spans="2:16" x14ac:dyDescent="0.3">
      <c r="B10" s="106" t="s">
        <v>250</v>
      </c>
      <c r="C10" s="57"/>
      <c r="D10" s="57"/>
      <c r="E10" s="57"/>
      <c r="F10" s="57"/>
      <c r="G10" s="57"/>
      <c r="H10" s="57"/>
      <c r="I10" s="57"/>
      <c r="J10" s="57"/>
      <c r="K10" s="57"/>
    </row>
    <row r="11" spans="2:16" ht="14.55" x14ac:dyDescent="0.35">
      <c r="B11" s="106" t="s">
        <v>207</v>
      </c>
      <c r="C11" s="57"/>
      <c r="D11" s="57"/>
      <c r="E11" s="57"/>
      <c r="F11" s="57"/>
      <c r="G11" s="57"/>
      <c r="H11" s="57"/>
      <c r="I11" s="57"/>
      <c r="J11" s="57"/>
      <c r="K11" s="57"/>
    </row>
    <row r="12" spans="2:16" ht="9" customHeight="1" x14ac:dyDescent="0.35">
      <c r="B12" s="106"/>
      <c r="C12" s="57"/>
      <c r="D12" s="57"/>
      <c r="E12" s="57"/>
      <c r="F12" s="57"/>
      <c r="G12" s="57"/>
      <c r="H12" s="57"/>
      <c r="I12" s="57"/>
      <c r="J12" s="57"/>
      <c r="K12" s="57"/>
    </row>
    <row r="13" spans="2:16" ht="14.55" x14ac:dyDescent="0.35">
      <c r="B13" s="106" t="s">
        <v>208</v>
      </c>
      <c r="C13" s="57"/>
      <c r="D13" s="57"/>
      <c r="E13" s="57"/>
      <c r="F13" s="57"/>
      <c r="G13" s="57"/>
      <c r="H13" s="57"/>
      <c r="I13" s="57"/>
      <c r="J13" s="57"/>
      <c r="K13" s="57"/>
    </row>
    <row r="14" spans="2:16" ht="14.55" x14ac:dyDescent="0.35">
      <c r="B14" s="106" t="s">
        <v>209</v>
      </c>
      <c r="C14" s="57"/>
      <c r="D14" s="57"/>
      <c r="E14" s="57"/>
      <c r="F14" s="57"/>
      <c r="G14" s="57"/>
      <c r="H14" s="57"/>
      <c r="I14" s="57"/>
      <c r="J14" s="57"/>
      <c r="K14" s="57"/>
    </row>
    <row r="15" spans="2:16" ht="14.55" x14ac:dyDescent="0.35">
      <c r="B15" s="106" t="s">
        <v>210</v>
      </c>
      <c r="C15" s="57"/>
      <c r="D15" s="57"/>
      <c r="E15" s="57"/>
      <c r="F15" s="57"/>
      <c r="G15" s="57"/>
      <c r="H15" s="57"/>
      <c r="I15" s="57"/>
      <c r="J15" s="57"/>
      <c r="K15" s="57"/>
      <c r="O15" s="101"/>
      <c r="P15" s="101"/>
    </row>
    <row r="16" spans="2:16" s="100" customFormat="1" ht="8.5500000000000007" customHeight="1" x14ac:dyDescent="0.35">
      <c r="B16" s="106"/>
      <c r="N16" s="103"/>
      <c r="O16" s="101"/>
      <c r="P16" s="101"/>
    </row>
    <row r="17" spans="2:16" s="100" customFormat="1" ht="14.55" x14ac:dyDescent="0.35">
      <c r="B17" s="106" t="s">
        <v>112</v>
      </c>
      <c r="N17" s="103"/>
      <c r="O17" s="101"/>
      <c r="P17" s="101"/>
    </row>
    <row r="18" spans="2:16" s="100" customFormat="1" ht="14.55" x14ac:dyDescent="0.35">
      <c r="B18" s="106" t="s">
        <v>113</v>
      </c>
      <c r="N18" s="103"/>
      <c r="O18" s="101"/>
      <c r="P18" s="101"/>
    </row>
    <row r="19" spans="2:16" s="100" customFormat="1" ht="15" thickBot="1" x14ac:dyDescent="0.4">
      <c r="N19" s="103"/>
      <c r="O19" s="101"/>
      <c r="P19" s="101"/>
    </row>
    <row r="20" spans="2:16" ht="15" thickBot="1" x14ac:dyDescent="0.4">
      <c r="B20" s="57"/>
      <c r="C20" s="57" t="s">
        <v>114</v>
      </c>
      <c r="D20" s="57"/>
      <c r="E20" s="57"/>
      <c r="F20" s="57"/>
      <c r="G20" s="57"/>
      <c r="H20" s="61">
        <v>5.5E-2</v>
      </c>
      <c r="I20" s="57"/>
      <c r="J20" s="57"/>
      <c r="K20" s="57"/>
      <c r="O20" s="101" t="s">
        <v>202</v>
      </c>
      <c r="P20" s="101" t="s">
        <v>204</v>
      </c>
    </row>
    <row r="21" spans="2:16" ht="15" thickBot="1" x14ac:dyDescent="0.35">
      <c r="B21" s="59"/>
      <c r="C21" s="59"/>
      <c r="D21" s="59"/>
      <c r="E21" s="59"/>
      <c r="F21" s="59"/>
      <c r="G21" s="59"/>
      <c r="H21" s="59"/>
      <c r="I21" s="59"/>
      <c r="J21" s="59"/>
      <c r="K21" s="59"/>
      <c r="L21" s="120" t="s">
        <v>236</v>
      </c>
      <c r="M21" s="101" t="s">
        <v>205</v>
      </c>
      <c r="N21" s="101" t="s">
        <v>206</v>
      </c>
      <c r="O21" s="101" t="s">
        <v>203</v>
      </c>
      <c r="P21" s="101" t="s">
        <v>14</v>
      </c>
    </row>
    <row r="22" spans="2:16" ht="15" thickBot="1" x14ac:dyDescent="0.35">
      <c r="B22" s="137" t="s">
        <v>115</v>
      </c>
      <c r="C22" s="137"/>
      <c r="D22" s="137"/>
      <c r="E22" s="137"/>
      <c r="F22" s="137"/>
      <c r="G22" s="137"/>
      <c r="H22" s="137"/>
      <c r="I22" s="137"/>
      <c r="J22" s="137"/>
      <c r="K22" s="137"/>
      <c r="M22" s="102"/>
      <c r="O22" s="58"/>
      <c r="P22" s="58"/>
    </row>
    <row r="23" spans="2:16" x14ac:dyDescent="0.3">
      <c r="L23">
        <v>0</v>
      </c>
      <c r="M23" s="102">
        <v>41275</v>
      </c>
      <c r="N23" s="103" t="s">
        <v>152</v>
      </c>
      <c r="O23" s="58">
        <v>10000</v>
      </c>
      <c r="P23" s="58">
        <f>O23</f>
        <v>10000</v>
      </c>
    </row>
    <row r="24" spans="2:16" x14ac:dyDescent="0.3">
      <c r="B24" s="147" t="s">
        <v>116</v>
      </c>
      <c r="C24" t="s">
        <v>248</v>
      </c>
      <c r="H24" s="58"/>
      <c r="J24" s="127">
        <f>-PV(H20,25,250000,0,1)</f>
        <v>3537924.7381194099</v>
      </c>
      <c r="L24">
        <v>1</v>
      </c>
      <c r="M24" s="102">
        <v>41640</v>
      </c>
      <c r="N24" s="103" t="s">
        <v>153</v>
      </c>
      <c r="O24" s="58">
        <f t="shared" ref="O24:O52" si="0">$J$33</f>
        <v>51315.550551705637</v>
      </c>
      <c r="P24" s="58">
        <f t="shared" ref="P24:P77" si="1">O24+(P23*(1+$H$20))</f>
        <v>61865.550551705637</v>
      </c>
    </row>
    <row r="25" spans="2:16" x14ac:dyDescent="0.3">
      <c r="B25" s="148"/>
      <c r="C25" t="s">
        <v>253</v>
      </c>
      <c r="J25" s="114">
        <f>PV(H20,24,0,-100000)</f>
        <v>27665.655761372967</v>
      </c>
      <c r="L25">
        <v>2</v>
      </c>
      <c r="M25" s="102">
        <v>42005</v>
      </c>
      <c r="N25" s="103" t="s">
        <v>154</v>
      </c>
      <c r="O25" s="114">
        <f t="shared" si="0"/>
        <v>51315.550551705637</v>
      </c>
      <c r="P25" s="58">
        <f t="shared" si="1"/>
        <v>116583.70638375508</v>
      </c>
    </row>
    <row r="26" spans="2:16" x14ac:dyDescent="0.3">
      <c r="B26" s="148"/>
      <c r="C26" s="118" t="s">
        <v>254</v>
      </c>
      <c r="H26" s="58"/>
      <c r="J26" s="128">
        <v>150000</v>
      </c>
      <c r="L26" s="118">
        <v>3</v>
      </c>
      <c r="M26" s="102">
        <v>42370</v>
      </c>
      <c r="N26" s="103" t="s">
        <v>155</v>
      </c>
      <c r="O26" s="114">
        <f t="shared" si="0"/>
        <v>51315.550551705637</v>
      </c>
      <c r="P26" s="58">
        <f t="shared" si="1"/>
        <v>174311.36078656724</v>
      </c>
    </row>
    <row r="27" spans="2:16" x14ac:dyDescent="0.3">
      <c r="B27" s="148"/>
      <c r="C27" t="s">
        <v>255</v>
      </c>
      <c r="J27" s="127">
        <f>SUM(J24:J26)</f>
        <v>3715590.3938807826</v>
      </c>
      <c r="L27" s="118">
        <v>4</v>
      </c>
      <c r="M27" s="102">
        <v>42736</v>
      </c>
      <c r="N27" s="103" t="s">
        <v>156</v>
      </c>
      <c r="O27" s="114">
        <f t="shared" si="0"/>
        <v>51315.550551705637</v>
      </c>
      <c r="P27" s="58">
        <f t="shared" si="1"/>
        <v>235214.03618153406</v>
      </c>
    </row>
    <row r="28" spans="2:16" x14ac:dyDescent="0.3">
      <c r="B28" s="148"/>
      <c r="J28" s="127"/>
      <c r="L28" s="118">
        <v>5</v>
      </c>
      <c r="M28" s="102">
        <v>43101</v>
      </c>
      <c r="N28" s="103" t="s">
        <v>157</v>
      </c>
      <c r="O28" s="114">
        <f t="shared" si="0"/>
        <v>51315.550551705637</v>
      </c>
      <c r="P28" s="58">
        <f t="shared" si="1"/>
        <v>299466.35872322402</v>
      </c>
    </row>
    <row r="29" spans="2:16" x14ac:dyDescent="0.3">
      <c r="B29" s="147" t="s">
        <v>117</v>
      </c>
      <c r="C29" t="s">
        <v>249</v>
      </c>
      <c r="J29" s="114">
        <f>-PV(H20,30,0,J27)</f>
        <v>745510.97690950404</v>
      </c>
      <c r="L29" s="118">
        <v>6</v>
      </c>
      <c r="M29" s="102">
        <v>43466</v>
      </c>
      <c r="N29" s="103" t="s">
        <v>158</v>
      </c>
      <c r="O29" s="114">
        <f t="shared" si="0"/>
        <v>51315.550551705637</v>
      </c>
      <c r="P29" s="58">
        <f t="shared" si="1"/>
        <v>367252.55900470697</v>
      </c>
    </row>
    <row r="30" spans="2:16" x14ac:dyDescent="0.3">
      <c r="B30" s="148"/>
      <c r="J30" s="127"/>
      <c r="L30" s="118">
        <v>7</v>
      </c>
      <c r="M30" s="102">
        <v>43831</v>
      </c>
      <c r="N30" s="103" t="s">
        <v>159</v>
      </c>
      <c r="O30" s="114">
        <f t="shared" si="0"/>
        <v>51315.550551705637</v>
      </c>
      <c r="P30" s="58">
        <f t="shared" si="1"/>
        <v>438767.00030167145</v>
      </c>
    </row>
    <row r="31" spans="2:16" x14ac:dyDescent="0.3">
      <c r="B31" s="148" t="s">
        <v>118</v>
      </c>
      <c r="C31" t="s">
        <v>211</v>
      </c>
      <c r="H31" s="105"/>
      <c r="J31" s="127">
        <f>J29-10000</f>
        <v>735510.97690950404</v>
      </c>
      <c r="L31" s="118">
        <v>8</v>
      </c>
      <c r="M31" s="102">
        <v>44197</v>
      </c>
      <c r="N31" s="103" t="s">
        <v>160</v>
      </c>
      <c r="O31" s="114">
        <f t="shared" si="0"/>
        <v>51315.550551705637</v>
      </c>
      <c r="P31" s="58">
        <f t="shared" si="1"/>
        <v>514214.73586996901</v>
      </c>
    </row>
    <row r="32" spans="2:16" x14ac:dyDescent="0.3">
      <c r="B32" s="148"/>
      <c r="J32" s="127"/>
      <c r="L32" s="118">
        <v>9</v>
      </c>
      <c r="M32" s="102">
        <v>44562</v>
      </c>
      <c r="N32" s="103" t="s">
        <v>161</v>
      </c>
      <c r="O32" s="114">
        <f t="shared" si="0"/>
        <v>51315.550551705637</v>
      </c>
      <c r="P32" s="58">
        <f t="shared" si="1"/>
        <v>593812.0968945229</v>
      </c>
    </row>
    <row r="33" spans="2:16" ht="15" thickBot="1" x14ac:dyDescent="0.35">
      <c r="B33" s="147" t="s">
        <v>251</v>
      </c>
      <c r="C33" t="s">
        <v>252</v>
      </c>
      <c r="H33" s="58"/>
      <c r="I33" s="60"/>
      <c r="J33" s="129">
        <f>PMT(H20,29,-J31)</f>
        <v>51315.550551705637</v>
      </c>
      <c r="L33" s="118">
        <v>10</v>
      </c>
      <c r="M33" s="102">
        <v>44927</v>
      </c>
      <c r="N33" s="103" t="s">
        <v>162</v>
      </c>
      <c r="O33" s="114">
        <f t="shared" si="0"/>
        <v>51315.550551705637</v>
      </c>
      <c r="P33" s="58">
        <f t="shared" si="1"/>
        <v>677787.31277542724</v>
      </c>
    </row>
    <row r="34" spans="2:16" x14ac:dyDescent="0.3">
      <c r="J34" s="127"/>
      <c r="L34" s="118">
        <v>11</v>
      </c>
      <c r="M34" s="102">
        <v>45292</v>
      </c>
      <c r="N34" s="103" t="s">
        <v>163</v>
      </c>
      <c r="O34" s="114">
        <f t="shared" si="0"/>
        <v>51315.550551705637</v>
      </c>
      <c r="P34" s="58">
        <f t="shared" si="1"/>
        <v>766381.16552978137</v>
      </c>
    </row>
    <row r="35" spans="2:16" x14ac:dyDescent="0.3">
      <c r="L35" s="118">
        <v>12</v>
      </c>
      <c r="M35" s="102">
        <v>45658</v>
      </c>
      <c r="N35" s="103" t="s">
        <v>164</v>
      </c>
      <c r="O35" s="114">
        <f t="shared" si="0"/>
        <v>51315.550551705637</v>
      </c>
      <c r="P35" s="58">
        <f t="shared" si="1"/>
        <v>859847.68018562498</v>
      </c>
    </row>
    <row r="36" spans="2:16" x14ac:dyDescent="0.3">
      <c r="L36" s="118">
        <v>13</v>
      </c>
      <c r="M36" s="102">
        <v>46023</v>
      </c>
      <c r="N36" s="103" t="s">
        <v>165</v>
      </c>
      <c r="O36" s="114">
        <f t="shared" si="0"/>
        <v>51315.550551705637</v>
      </c>
      <c r="P36" s="58">
        <f t="shared" si="1"/>
        <v>958454.85314753989</v>
      </c>
    </row>
    <row r="37" spans="2:16" x14ac:dyDescent="0.3">
      <c r="L37" s="118">
        <v>14</v>
      </c>
      <c r="M37" s="102">
        <v>46388</v>
      </c>
      <c r="N37" s="103" t="s">
        <v>166</v>
      </c>
      <c r="O37" s="114">
        <f t="shared" si="0"/>
        <v>51315.550551705637</v>
      </c>
      <c r="P37" s="58">
        <f t="shared" si="1"/>
        <v>1062485.4206223602</v>
      </c>
    </row>
    <row r="38" spans="2:16" x14ac:dyDescent="0.3">
      <c r="L38" s="118">
        <v>15</v>
      </c>
      <c r="M38" s="102">
        <v>46753</v>
      </c>
      <c r="N38" s="103" t="s">
        <v>167</v>
      </c>
      <c r="O38" s="114">
        <f t="shared" si="0"/>
        <v>51315.550551705637</v>
      </c>
      <c r="P38" s="58">
        <f t="shared" si="1"/>
        <v>1172237.6693082955</v>
      </c>
    </row>
    <row r="39" spans="2:16" x14ac:dyDescent="0.3">
      <c r="L39" s="118">
        <v>16</v>
      </c>
      <c r="M39" s="102">
        <v>47119</v>
      </c>
      <c r="N39" s="103" t="s">
        <v>168</v>
      </c>
      <c r="O39" s="114">
        <f t="shared" si="0"/>
        <v>51315.550551705637</v>
      </c>
      <c r="P39" s="58">
        <f t="shared" si="1"/>
        <v>1288026.2916719571</v>
      </c>
    </row>
    <row r="40" spans="2:16" x14ac:dyDescent="0.3">
      <c r="L40" s="118">
        <v>17</v>
      </c>
      <c r="M40" s="102">
        <v>47484</v>
      </c>
      <c r="N40" s="103" t="s">
        <v>169</v>
      </c>
      <c r="O40" s="114">
        <f t="shared" si="0"/>
        <v>51315.550551705637</v>
      </c>
      <c r="P40" s="58">
        <f t="shared" si="1"/>
        <v>1410183.2882656201</v>
      </c>
    </row>
    <row r="41" spans="2:16" x14ac:dyDescent="0.3">
      <c r="L41" s="118">
        <v>18</v>
      </c>
      <c r="M41" s="102">
        <v>47849</v>
      </c>
      <c r="N41" s="103" t="s">
        <v>170</v>
      </c>
      <c r="O41" s="114">
        <f t="shared" si="0"/>
        <v>51315.550551705637</v>
      </c>
      <c r="P41" s="58">
        <f t="shared" si="1"/>
        <v>1539058.9196719346</v>
      </c>
    </row>
    <row r="42" spans="2:16" x14ac:dyDescent="0.3">
      <c r="L42" s="118">
        <v>19</v>
      </c>
      <c r="M42" s="102">
        <v>48214</v>
      </c>
      <c r="N42" s="103" t="s">
        <v>171</v>
      </c>
      <c r="O42" s="114">
        <f t="shared" si="0"/>
        <v>51315.550551705637</v>
      </c>
      <c r="P42" s="58">
        <f t="shared" si="1"/>
        <v>1675022.7108055963</v>
      </c>
    </row>
    <row r="43" spans="2:16" x14ac:dyDescent="0.3">
      <c r="L43" s="118">
        <v>20</v>
      </c>
      <c r="M43" s="102">
        <v>48580</v>
      </c>
      <c r="N43" s="103" t="s">
        <v>172</v>
      </c>
      <c r="O43" s="114">
        <f t="shared" si="0"/>
        <v>51315.550551705637</v>
      </c>
      <c r="P43" s="58">
        <f t="shared" si="1"/>
        <v>1818464.5104516095</v>
      </c>
    </row>
    <row r="44" spans="2:16" x14ac:dyDescent="0.3">
      <c r="L44" s="118">
        <v>21</v>
      </c>
      <c r="M44" s="102">
        <v>48945</v>
      </c>
      <c r="N44" s="103" t="s">
        <v>173</v>
      </c>
      <c r="O44" s="114">
        <f t="shared" si="0"/>
        <v>51315.550551705637</v>
      </c>
      <c r="P44" s="58">
        <f t="shared" si="1"/>
        <v>1969795.6090781535</v>
      </c>
    </row>
    <row r="45" spans="2:16" x14ac:dyDescent="0.3">
      <c r="L45" s="118">
        <v>22</v>
      </c>
      <c r="M45" s="102">
        <v>49310</v>
      </c>
      <c r="N45" s="103" t="s">
        <v>174</v>
      </c>
      <c r="O45" s="114">
        <f t="shared" si="0"/>
        <v>51315.550551705637</v>
      </c>
      <c r="P45" s="58">
        <f t="shared" si="1"/>
        <v>2129449.9181291573</v>
      </c>
    </row>
    <row r="46" spans="2:16" x14ac:dyDescent="0.3">
      <c r="L46" s="118">
        <v>23</v>
      </c>
      <c r="M46" s="102">
        <v>49675</v>
      </c>
      <c r="N46" s="103" t="s">
        <v>175</v>
      </c>
      <c r="O46" s="114">
        <f t="shared" si="0"/>
        <v>51315.550551705637</v>
      </c>
      <c r="P46" s="58">
        <f t="shared" si="1"/>
        <v>2297885.2141779661</v>
      </c>
    </row>
    <row r="47" spans="2:16" x14ac:dyDescent="0.3">
      <c r="L47" s="118">
        <v>24</v>
      </c>
      <c r="M47" s="102">
        <v>50041</v>
      </c>
      <c r="N47" s="103" t="s">
        <v>176</v>
      </c>
      <c r="O47" s="114">
        <f t="shared" si="0"/>
        <v>51315.550551705637</v>
      </c>
      <c r="P47" s="58">
        <f t="shared" si="1"/>
        <v>2475584.4515094594</v>
      </c>
    </row>
    <row r="48" spans="2:16" x14ac:dyDescent="0.3">
      <c r="L48" s="118">
        <v>25</v>
      </c>
      <c r="M48" s="102">
        <v>50406</v>
      </c>
      <c r="N48" s="103" t="s">
        <v>177</v>
      </c>
      <c r="O48" s="114">
        <f t="shared" si="0"/>
        <v>51315.550551705637</v>
      </c>
      <c r="P48" s="58">
        <f t="shared" si="1"/>
        <v>2663057.1468941849</v>
      </c>
    </row>
    <row r="49" spans="12:16" x14ac:dyDescent="0.3">
      <c r="L49" s="118">
        <v>26</v>
      </c>
      <c r="M49" s="102">
        <v>50771</v>
      </c>
      <c r="N49" s="103" t="s">
        <v>178</v>
      </c>
      <c r="O49" s="114">
        <f t="shared" si="0"/>
        <v>51315.550551705637</v>
      </c>
      <c r="P49" s="114">
        <f t="shared" si="1"/>
        <v>2860840.8405250702</v>
      </c>
    </row>
    <row r="50" spans="12:16" x14ac:dyDescent="0.3">
      <c r="L50" s="118">
        <v>27</v>
      </c>
      <c r="M50" s="102">
        <v>51136</v>
      </c>
      <c r="N50" s="103" t="s">
        <v>179</v>
      </c>
      <c r="O50" s="114">
        <f t="shared" si="0"/>
        <v>51315.550551705637</v>
      </c>
      <c r="P50" s="114">
        <f t="shared" si="1"/>
        <v>3069502.6373056546</v>
      </c>
    </row>
    <row r="51" spans="12:16" x14ac:dyDescent="0.3">
      <c r="L51" s="118">
        <v>28</v>
      </c>
      <c r="M51" s="102">
        <v>51502</v>
      </c>
      <c r="N51" s="103" t="s">
        <v>180</v>
      </c>
      <c r="O51" s="114">
        <f t="shared" si="0"/>
        <v>51315.550551705637</v>
      </c>
      <c r="P51" s="114">
        <f t="shared" si="1"/>
        <v>3289640.832909171</v>
      </c>
    </row>
    <row r="52" spans="12:16" x14ac:dyDescent="0.3">
      <c r="L52" s="118">
        <v>29</v>
      </c>
      <c r="M52" s="102">
        <v>51867</v>
      </c>
      <c r="N52" s="103" t="s">
        <v>181</v>
      </c>
      <c r="O52" s="114">
        <f t="shared" si="0"/>
        <v>51315.550551705637</v>
      </c>
      <c r="P52" s="114">
        <f t="shared" si="1"/>
        <v>3521886.6292708809</v>
      </c>
    </row>
    <row r="53" spans="12:16" x14ac:dyDescent="0.3">
      <c r="L53" s="118">
        <v>30</v>
      </c>
      <c r="M53" s="102">
        <v>52232</v>
      </c>
      <c r="N53" s="103" t="s">
        <v>182</v>
      </c>
      <c r="O53" s="114">
        <v>-400000</v>
      </c>
      <c r="P53" s="114">
        <f t="shared" si="1"/>
        <v>3315590.3938807794</v>
      </c>
    </row>
    <row r="54" spans="12:16" x14ac:dyDescent="0.3">
      <c r="L54" s="118">
        <v>31</v>
      </c>
      <c r="M54" s="102">
        <v>52597</v>
      </c>
      <c r="N54" s="103" t="s">
        <v>183</v>
      </c>
      <c r="O54" s="114">
        <v>-250000</v>
      </c>
      <c r="P54" s="114">
        <f t="shared" si="1"/>
        <v>3247947.8655442218</v>
      </c>
    </row>
    <row r="55" spans="12:16" x14ac:dyDescent="0.3">
      <c r="L55" s="118">
        <v>32</v>
      </c>
      <c r="M55" s="102">
        <v>52963</v>
      </c>
      <c r="N55" s="103" t="s">
        <v>184</v>
      </c>
      <c r="O55" s="114">
        <v>-250000</v>
      </c>
      <c r="P55" s="114">
        <f t="shared" si="1"/>
        <v>3176584.9981491538</v>
      </c>
    </row>
    <row r="56" spans="12:16" x14ac:dyDescent="0.3">
      <c r="L56" s="118">
        <v>33</v>
      </c>
      <c r="M56" s="102">
        <v>53328</v>
      </c>
      <c r="N56" s="103" t="s">
        <v>185</v>
      </c>
      <c r="O56" s="114">
        <v>-250000</v>
      </c>
      <c r="P56" s="114">
        <f t="shared" si="1"/>
        <v>3101297.1730473572</v>
      </c>
    </row>
    <row r="57" spans="12:16" x14ac:dyDescent="0.3">
      <c r="L57" s="118">
        <v>34</v>
      </c>
      <c r="M57" s="102">
        <v>53693</v>
      </c>
      <c r="N57" s="103" t="s">
        <v>186</v>
      </c>
      <c r="O57" s="114">
        <v>-250000</v>
      </c>
      <c r="P57" s="114">
        <f t="shared" si="1"/>
        <v>3021868.5175649617</v>
      </c>
    </row>
    <row r="58" spans="12:16" x14ac:dyDescent="0.3">
      <c r="L58" s="118">
        <v>35</v>
      </c>
      <c r="M58" s="102">
        <v>54058</v>
      </c>
      <c r="N58" s="103" t="s">
        <v>187</v>
      </c>
      <c r="O58" s="114">
        <v>-250000</v>
      </c>
      <c r="P58" s="114">
        <f t="shared" si="1"/>
        <v>2938071.2860310343</v>
      </c>
    </row>
    <row r="59" spans="12:16" x14ac:dyDescent="0.3">
      <c r="L59" s="118">
        <v>36</v>
      </c>
      <c r="M59" s="102">
        <v>54424</v>
      </c>
      <c r="N59" s="103" t="s">
        <v>188</v>
      </c>
      <c r="O59" s="114">
        <v>-250000</v>
      </c>
      <c r="P59" s="114">
        <f t="shared" si="1"/>
        <v>2849665.2067627409</v>
      </c>
    </row>
    <row r="60" spans="12:16" x14ac:dyDescent="0.3">
      <c r="L60" s="118">
        <v>37</v>
      </c>
      <c r="M60" s="102">
        <v>54789</v>
      </c>
      <c r="N60" s="103" t="s">
        <v>189</v>
      </c>
      <c r="O60" s="114">
        <v>-250000</v>
      </c>
      <c r="P60" s="114">
        <f t="shared" si="1"/>
        <v>2756396.7931346912</v>
      </c>
    </row>
    <row r="61" spans="12:16" x14ac:dyDescent="0.3">
      <c r="L61" s="118">
        <v>38</v>
      </c>
      <c r="M61" s="102">
        <v>55154</v>
      </c>
      <c r="N61" s="103" t="s">
        <v>190</v>
      </c>
      <c r="O61" s="114">
        <v>-250000</v>
      </c>
      <c r="P61" s="114">
        <f t="shared" si="1"/>
        <v>2657998.6167570991</v>
      </c>
    </row>
    <row r="62" spans="12:16" x14ac:dyDescent="0.3">
      <c r="L62" s="118">
        <v>39</v>
      </c>
      <c r="M62" s="102">
        <v>55519</v>
      </c>
      <c r="N62" s="103" t="s">
        <v>191</v>
      </c>
      <c r="O62" s="114">
        <v>-250000</v>
      </c>
      <c r="P62" s="114">
        <f t="shared" si="1"/>
        <v>2554188.5406787395</v>
      </c>
    </row>
    <row r="63" spans="12:16" x14ac:dyDescent="0.3">
      <c r="L63" s="118">
        <v>40</v>
      </c>
      <c r="M63" s="102">
        <v>55885</v>
      </c>
      <c r="N63" s="103" t="s">
        <v>192</v>
      </c>
      <c r="O63" s="114">
        <v>-250000</v>
      </c>
      <c r="P63" s="114">
        <f t="shared" si="1"/>
        <v>2444668.9104160699</v>
      </c>
    </row>
    <row r="64" spans="12:16" x14ac:dyDescent="0.3">
      <c r="L64" s="118">
        <v>41</v>
      </c>
      <c r="M64" s="102">
        <v>56250</v>
      </c>
      <c r="N64" s="103" t="s">
        <v>193</v>
      </c>
      <c r="O64" s="114">
        <v>-250000</v>
      </c>
      <c r="P64" s="114">
        <f t="shared" si="1"/>
        <v>2329125.7004889534</v>
      </c>
    </row>
    <row r="65" spans="12:16" x14ac:dyDescent="0.3">
      <c r="L65" s="118">
        <v>42</v>
      </c>
      <c r="M65" s="102">
        <v>56615</v>
      </c>
      <c r="N65" s="103" t="s">
        <v>194</v>
      </c>
      <c r="O65" s="114">
        <v>-250000</v>
      </c>
      <c r="P65" s="114">
        <f t="shared" si="1"/>
        <v>2207227.6140158456</v>
      </c>
    </row>
    <row r="66" spans="12:16" x14ac:dyDescent="0.3">
      <c r="L66" s="118">
        <v>43</v>
      </c>
      <c r="M66" s="102">
        <v>56980</v>
      </c>
      <c r="N66" s="103" t="s">
        <v>195</v>
      </c>
      <c r="O66" s="114">
        <v>-250000</v>
      </c>
      <c r="P66" s="114">
        <f t="shared" si="1"/>
        <v>2078625.1327867168</v>
      </c>
    </row>
    <row r="67" spans="12:16" x14ac:dyDescent="0.3">
      <c r="L67" s="118">
        <v>44</v>
      </c>
      <c r="M67" s="102">
        <v>57346</v>
      </c>
      <c r="N67" s="103" t="s">
        <v>196</v>
      </c>
      <c r="O67" s="114">
        <v>-250000</v>
      </c>
      <c r="P67" s="114">
        <f t="shared" si="1"/>
        <v>1942949.5150899859</v>
      </c>
    </row>
    <row r="68" spans="12:16" x14ac:dyDescent="0.3">
      <c r="L68" s="118">
        <v>45</v>
      </c>
      <c r="M68" s="102">
        <v>57711</v>
      </c>
      <c r="N68" s="103" t="s">
        <v>197</v>
      </c>
      <c r="O68" s="114">
        <v>-250000</v>
      </c>
      <c r="P68" s="114">
        <f t="shared" si="1"/>
        <v>1799811.7384199351</v>
      </c>
    </row>
    <row r="69" spans="12:16" x14ac:dyDescent="0.3">
      <c r="L69" s="118">
        <v>46</v>
      </c>
      <c r="M69" s="102">
        <v>58076</v>
      </c>
      <c r="N69" s="103" t="s">
        <v>198</v>
      </c>
      <c r="O69" s="114">
        <v>-250000</v>
      </c>
      <c r="P69" s="114">
        <f t="shared" si="1"/>
        <v>1648801.3840330315</v>
      </c>
    </row>
    <row r="70" spans="12:16" x14ac:dyDescent="0.3">
      <c r="L70" s="118">
        <v>47</v>
      </c>
      <c r="M70" s="102">
        <v>58441</v>
      </c>
      <c r="N70" s="103" t="s">
        <v>199</v>
      </c>
      <c r="O70" s="114">
        <v>-250000</v>
      </c>
      <c r="P70" s="114">
        <f t="shared" si="1"/>
        <v>1489485.4601548482</v>
      </c>
    </row>
    <row r="71" spans="12:16" x14ac:dyDescent="0.3">
      <c r="L71" s="118">
        <v>48</v>
      </c>
      <c r="M71" s="102">
        <v>58807</v>
      </c>
      <c r="N71" s="103" t="s">
        <v>200</v>
      </c>
      <c r="O71" s="114">
        <v>-250000</v>
      </c>
      <c r="P71" s="114">
        <f t="shared" si="1"/>
        <v>1321407.1604633648</v>
      </c>
    </row>
    <row r="72" spans="12:16" x14ac:dyDescent="0.3">
      <c r="L72" s="118">
        <v>49</v>
      </c>
      <c r="M72" s="102">
        <v>59172</v>
      </c>
      <c r="N72" s="103" t="s">
        <v>201</v>
      </c>
      <c r="O72" s="114">
        <v>-250000</v>
      </c>
      <c r="P72" s="114">
        <f t="shared" si="1"/>
        <v>1144084.5542888497</v>
      </c>
    </row>
    <row r="73" spans="12:16" x14ac:dyDescent="0.3">
      <c r="L73" s="118">
        <v>50</v>
      </c>
      <c r="M73" s="102">
        <v>59537</v>
      </c>
      <c r="N73" s="103" t="s">
        <v>212</v>
      </c>
      <c r="O73" s="114">
        <v>-250000</v>
      </c>
      <c r="P73" s="114">
        <f t="shared" si="1"/>
        <v>957009.20477473643</v>
      </c>
    </row>
    <row r="74" spans="12:16" x14ac:dyDescent="0.3">
      <c r="L74" s="118">
        <v>51</v>
      </c>
      <c r="M74" s="102">
        <v>59902</v>
      </c>
      <c r="N74" s="103" t="s">
        <v>213</v>
      </c>
      <c r="O74" s="114">
        <v>-250000</v>
      </c>
      <c r="P74" s="114">
        <f t="shared" si="1"/>
        <v>759644.71103734686</v>
      </c>
    </row>
    <row r="75" spans="12:16" x14ac:dyDescent="0.3">
      <c r="L75" s="118">
        <v>52</v>
      </c>
      <c r="M75" s="102">
        <v>60268</v>
      </c>
      <c r="N75" s="103" t="s">
        <v>214</v>
      </c>
      <c r="O75" s="114">
        <v>-250000</v>
      </c>
      <c r="P75" s="114">
        <f t="shared" si="1"/>
        <v>551425.17014440091</v>
      </c>
    </row>
    <row r="76" spans="12:16" x14ac:dyDescent="0.3">
      <c r="L76" s="118">
        <v>53</v>
      </c>
      <c r="M76" s="102">
        <v>60633</v>
      </c>
      <c r="N76" s="103" t="s">
        <v>215</v>
      </c>
      <c r="O76" s="114">
        <v>-250000</v>
      </c>
      <c r="P76" s="114">
        <f t="shared" si="1"/>
        <v>331753.55450234294</v>
      </c>
    </row>
    <row r="77" spans="12:16" x14ac:dyDescent="0.3">
      <c r="L77" s="118">
        <v>54</v>
      </c>
      <c r="M77" s="102">
        <v>60998</v>
      </c>
      <c r="N77" s="103" t="s">
        <v>216</v>
      </c>
      <c r="O77" s="114">
        <v>-350000</v>
      </c>
      <c r="P77" s="114">
        <f t="shared" si="1"/>
        <v>-2.8230715543031693E-8</v>
      </c>
    </row>
    <row r="78" spans="12:16" x14ac:dyDescent="0.3">
      <c r="L78" s="118"/>
      <c r="M78" s="102"/>
      <c r="O78" s="114"/>
      <c r="P78" s="114"/>
    </row>
    <row r="79" spans="12:16" x14ac:dyDescent="0.3">
      <c r="L79" s="118"/>
      <c r="M79" s="102"/>
      <c r="O79" s="114"/>
      <c r="P79" s="114"/>
    </row>
    <row r="80" spans="12:16" x14ac:dyDescent="0.3">
      <c r="L80" s="118"/>
      <c r="M80" s="102"/>
      <c r="O80" s="114"/>
      <c r="P80" s="114"/>
    </row>
    <row r="81" spans="12:16" x14ac:dyDescent="0.3">
      <c r="L81" s="118"/>
      <c r="M81" s="102"/>
      <c r="O81" s="114"/>
      <c r="P81" s="114"/>
    </row>
    <row r="82" spans="12:16" x14ac:dyDescent="0.3">
      <c r="L82" s="118"/>
      <c r="M82" s="102"/>
      <c r="O82" s="114"/>
      <c r="P82" s="114"/>
    </row>
    <row r="83" spans="12:16" x14ac:dyDescent="0.3">
      <c r="L83" s="118"/>
      <c r="M83" s="102"/>
      <c r="O83" s="114"/>
      <c r="P83" s="114"/>
    </row>
    <row r="84" spans="12:16" x14ac:dyDescent="0.3">
      <c r="L84" s="118"/>
      <c r="M84" s="102"/>
      <c r="O84" s="114"/>
      <c r="P84" s="114"/>
    </row>
    <row r="85" spans="12:16" x14ac:dyDescent="0.3">
      <c r="L85" s="118"/>
      <c r="M85" s="102"/>
      <c r="O85" s="114"/>
      <c r="P85" s="114"/>
    </row>
    <row r="86" spans="12:16" x14ac:dyDescent="0.3">
      <c r="M86" s="102"/>
      <c r="O86" s="58"/>
      <c r="P86" s="58"/>
    </row>
    <row r="87" spans="12:16" x14ac:dyDescent="0.3">
      <c r="M87" s="102"/>
    </row>
  </sheetData>
  <mergeCells count="1">
    <mergeCell ref="B22:K22"/>
  </mergeCells>
  <pageMargins left="0.7" right="0.7" top="0.75" bottom="0.75" header="0.3" footer="0.3"/>
  <pageSetup orientation="portrait"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92"/>
  <sheetViews>
    <sheetView topLeftCell="A61" zoomScale="115" zoomScaleNormal="115" workbookViewId="0">
      <selection activeCell="E65" sqref="E65"/>
    </sheetView>
  </sheetViews>
  <sheetFormatPr defaultRowHeight="14.4" x14ac:dyDescent="0.3"/>
  <cols>
    <col min="1" max="1" width="3.5546875" customWidth="1"/>
    <col min="2" max="2" width="5" customWidth="1"/>
    <col min="3" max="3" width="12.5546875" customWidth="1"/>
    <col min="4" max="4" width="16" customWidth="1"/>
    <col min="5" max="5" width="13.77734375" customWidth="1"/>
    <col min="6" max="6" width="10.21875" customWidth="1"/>
    <col min="8" max="8" width="12.21875" bestFit="1" customWidth="1"/>
    <col min="10" max="14" width="12.77734375" customWidth="1"/>
  </cols>
  <sheetData>
    <row r="2" spans="2:8" ht="23.55" x14ac:dyDescent="0.55000000000000004">
      <c r="B2" s="1" t="s">
        <v>103</v>
      </c>
    </row>
    <row r="3" spans="2:8" ht="23.55" x14ac:dyDescent="0.55000000000000004">
      <c r="B3" s="1"/>
    </row>
    <row r="4" spans="2:8" ht="23.55" x14ac:dyDescent="0.55000000000000004">
      <c r="B4" s="1"/>
    </row>
    <row r="5" spans="2:8" ht="23.55" x14ac:dyDescent="0.55000000000000004">
      <c r="B5" s="1"/>
    </row>
    <row r="6" spans="2:8" ht="23.55" x14ac:dyDescent="0.55000000000000004">
      <c r="B6" s="1"/>
    </row>
    <row r="7" spans="2:8" ht="23.55" x14ac:dyDescent="0.55000000000000004">
      <c r="B7" s="1"/>
    </row>
    <row r="10" spans="2:8" ht="14.55" x14ac:dyDescent="0.35">
      <c r="H10" s="4"/>
    </row>
    <row r="11" spans="2:8" ht="14.55" x14ac:dyDescent="0.35">
      <c r="B11" s="43" t="s">
        <v>0</v>
      </c>
      <c r="C11" s="107" t="s">
        <v>2</v>
      </c>
    </row>
    <row r="12" spans="2:8" ht="14.55" x14ac:dyDescent="0.35">
      <c r="C12" s="107" t="s">
        <v>94</v>
      </c>
    </row>
    <row r="13" spans="2:8" ht="14.55" x14ac:dyDescent="0.35">
      <c r="C13" s="107" t="s">
        <v>217</v>
      </c>
    </row>
    <row r="14" spans="2:8" ht="14.55" x14ac:dyDescent="0.35">
      <c r="C14" s="107" t="s">
        <v>105</v>
      </c>
    </row>
    <row r="15" spans="2:8" ht="15" thickBot="1" x14ac:dyDescent="0.4"/>
    <row r="16" spans="2:8" ht="15" thickBot="1" x14ac:dyDescent="0.4">
      <c r="D16" s="66" t="s">
        <v>93</v>
      </c>
      <c r="E16" s="67" t="s">
        <v>4</v>
      </c>
      <c r="F16" s="64"/>
    </row>
    <row r="17" spans="3:10" ht="14.55" x14ac:dyDescent="0.35">
      <c r="D17" s="68">
        <v>1</v>
      </c>
      <c r="E17" s="71">
        <v>0</v>
      </c>
      <c r="F17" s="64"/>
    </row>
    <row r="18" spans="3:10" ht="14.55" x14ac:dyDescent="0.35">
      <c r="D18" s="70">
        <v>2</v>
      </c>
      <c r="E18" s="71">
        <v>0</v>
      </c>
      <c r="F18" s="64"/>
    </row>
    <row r="19" spans="3:10" ht="14.55" x14ac:dyDescent="0.35">
      <c r="D19" s="70">
        <v>3</v>
      </c>
      <c r="E19" s="71">
        <v>0</v>
      </c>
      <c r="F19" s="64"/>
    </row>
    <row r="20" spans="3:10" ht="14.55" x14ac:dyDescent="0.35">
      <c r="D20" s="70">
        <v>4</v>
      </c>
      <c r="E20" s="110">
        <v>0</v>
      </c>
      <c r="F20" s="64" t="s">
        <v>5</v>
      </c>
    </row>
    <row r="21" spans="3:10" ht="15" thickBot="1" x14ac:dyDescent="0.4">
      <c r="D21" s="70">
        <v>5</v>
      </c>
      <c r="E21" s="110">
        <v>0</v>
      </c>
      <c r="F21" s="64"/>
    </row>
    <row r="22" spans="3:10" ht="15" thickBot="1" x14ac:dyDescent="0.4">
      <c r="D22" s="70">
        <v>6</v>
      </c>
      <c r="E22" s="109">
        <v>3500</v>
      </c>
      <c r="F22" s="64"/>
      <c r="H22" s="127"/>
    </row>
    <row r="23" spans="3:10" ht="14.55" x14ac:dyDescent="0.35">
      <c r="D23" s="70">
        <v>7</v>
      </c>
      <c r="E23" s="71">
        <f t="shared" ref="E23:E25" si="0">E22</f>
        <v>3500</v>
      </c>
      <c r="F23" s="64"/>
      <c r="H23" s="127"/>
    </row>
    <row r="24" spans="3:10" ht="14.55" x14ac:dyDescent="0.35">
      <c r="D24" s="70">
        <v>8</v>
      </c>
      <c r="E24" s="71">
        <f t="shared" si="0"/>
        <v>3500</v>
      </c>
      <c r="F24" s="64"/>
      <c r="H24" s="127"/>
      <c r="J24" s="48"/>
    </row>
    <row r="25" spans="3:10" ht="15" thickBot="1" x14ac:dyDescent="0.4">
      <c r="D25" s="72">
        <v>9</v>
      </c>
      <c r="E25" s="71">
        <f t="shared" si="0"/>
        <v>3500</v>
      </c>
      <c r="F25" s="64"/>
      <c r="H25" s="127"/>
    </row>
    <row r="26" spans="3:10" s="63" customFormat="1" ht="15" thickBot="1" x14ac:dyDescent="0.4">
      <c r="D26" s="65">
        <v>10</v>
      </c>
      <c r="E26" s="69">
        <v>2500</v>
      </c>
      <c r="F26" s="64" t="s">
        <v>5</v>
      </c>
      <c r="H26" s="127"/>
    </row>
    <row r="28" spans="3:10" ht="14.55" x14ac:dyDescent="0.35">
      <c r="C28" t="s">
        <v>95</v>
      </c>
      <c r="E28" s="3">
        <v>0.12</v>
      </c>
      <c r="I28" s="4"/>
    </row>
    <row r="30" spans="3:10" ht="14.55" x14ac:dyDescent="0.35">
      <c r="C30" t="s">
        <v>96</v>
      </c>
    </row>
    <row r="31" spans="3:10" ht="14.55" x14ac:dyDescent="0.35">
      <c r="C31" t="s">
        <v>97</v>
      </c>
    </row>
    <row r="32" spans="3:10" ht="14.55" x14ac:dyDescent="0.35">
      <c r="C32" s="73" t="s">
        <v>119</v>
      </c>
    </row>
    <row r="33" spans="2:8" ht="15" thickBot="1" x14ac:dyDescent="0.4"/>
    <row r="34" spans="2:8" ht="15" thickBot="1" x14ac:dyDescent="0.4">
      <c r="C34" t="s">
        <v>98</v>
      </c>
      <c r="D34" s="138">
        <f>PV(E28,5,0,PV(E28,5,E22,E26-E22))</f>
        <v>6837.0906546398146</v>
      </c>
      <c r="E34" s="139"/>
    </row>
    <row r="36" spans="2:8" ht="14.55" x14ac:dyDescent="0.35">
      <c r="B36" s="77" t="s">
        <v>1</v>
      </c>
      <c r="C36" s="74" t="s">
        <v>120</v>
      </c>
      <c r="D36" s="74"/>
      <c r="E36" s="74"/>
      <c r="F36" s="74"/>
      <c r="G36" s="74"/>
      <c r="H36" s="74"/>
    </row>
    <row r="37" spans="2:8" s="73" customFormat="1" ht="14.55" x14ac:dyDescent="0.35">
      <c r="B37" s="74"/>
      <c r="C37" s="79" t="s">
        <v>121</v>
      </c>
      <c r="D37" s="74"/>
      <c r="E37" s="74"/>
      <c r="F37" s="74"/>
      <c r="G37" s="74"/>
      <c r="H37" s="74"/>
    </row>
    <row r="38" spans="2:8" s="73" customFormat="1" ht="14.55" x14ac:dyDescent="0.35">
      <c r="B38" s="74"/>
      <c r="C38" s="79" t="s">
        <v>218</v>
      </c>
      <c r="D38" s="74"/>
      <c r="E38" s="74"/>
      <c r="F38" s="74"/>
      <c r="G38" s="74"/>
      <c r="H38" s="74"/>
    </row>
    <row r="39" spans="2:8" s="73" customFormat="1" ht="15" thickBot="1" x14ac:dyDescent="0.4">
      <c r="B39" s="74"/>
      <c r="C39" s="74"/>
      <c r="D39" s="74"/>
      <c r="E39" s="74"/>
      <c r="F39" s="74"/>
      <c r="G39" s="74"/>
      <c r="H39" s="74"/>
    </row>
    <row r="40" spans="2:8" s="73" customFormat="1" ht="15" thickBot="1" x14ac:dyDescent="0.4">
      <c r="B40" s="74"/>
      <c r="C40" s="80" t="s">
        <v>122</v>
      </c>
      <c r="D40" s="74"/>
      <c r="E40" s="74"/>
      <c r="F40" s="81">
        <v>8.7499999999999994E-2</v>
      </c>
      <c r="G40" s="74"/>
      <c r="H40" s="74"/>
    </row>
    <row r="41" spans="2:8" s="73" customFormat="1" ht="15" thickBot="1" x14ac:dyDescent="0.4">
      <c r="B41" s="74"/>
      <c r="C41" s="74"/>
      <c r="D41" s="74"/>
      <c r="E41" s="75"/>
      <c r="F41" s="75"/>
      <c r="G41" s="74"/>
      <c r="H41" s="74"/>
    </row>
    <row r="42" spans="2:8" s="73" customFormat="1" ht="43.95" thickBot="1" x14ac:dyDescent="0.4">
      <c r="B42" s="74"/>
      <c r="C42" s="74"/>
      <c r="D42" s="74"/>
      <c r="E42" s="83" t="s">
        <v>123</v>
      </c>
      <c r="F42" s="83" t="s">
        <v>124</v>
      </c>
      <c r="G42" s="74"/>
      <c r="H42" s="74"/>
    </row>
    <row r="43" spans="2:8" s="73" customFormat="1" ht="14.55" x14ac:dyDescent="0.35">
      <c r="B43" s="74"/>
      <c r="C43" s="74"/>
      <c r="D43" s="74"/>
      <c r="E43" s="76" t="s">
        <v>81</v>
      </c>
      <c r="F43" s="82">
        <f>FV(F40/4,4,0,-1)-1</f>
        <v>9.0413192844391199E-2</v>
      </c>
      <c r="G43" s="74"/>
      <c r="H43" s="74"/>
    </row>
    <row r="44" spans="2:8" s="73" customFormat="1" ht="14.55" x14ac:dyDescent="0.35">
      <c r="B44" s="74"/>
      <c r="C44" s="74"/>
      <c r="D44" s="74"/>
      <c r="E44" s="76" t="s">
        <v>82</v>
      </c>
      <c r="F44" s="82">
        <f>FV(F40/12,12,0,-1)-1</f>
        <v>9.1095821332897842E-2</v>
      </c>
      <c r="G44" s="74"/>
      <c r="H44" s="74"/>
    </row>
    <row r="45" spans="2:8" s="73" customFormat="1" ht="15" thickBot="1" x14ac:dyDescent="0.4">
      <c r="B45" s="74"/>
      <c r="C45" s="74"/>
      <c r="D45" s="74"/>
      <c r="E45" s="76" t="s">
        <v>125</v>
      </c>
      <c r="F45" s="82">
        <f>FV(F40/365,365,0,-1)-1</f>
        <v>9.1430819270617691E-2</v>
      </c>
      <c r="G45" s="74"/>
      <c r="H45" s="74"/>
    </row>
    <row r="46" spans="2:8" s="73" customFormat="1" ht="15" thickBot="1" x14ac:dyDescent="0.4">
      <c r="B46" s="74"/>
      <c r="C46" s="74"/>
      <c r="D46" s="74"/>
      <c r="E46" s="84" t="s">
        <v>126</v>
      </c>
      <c r="F46" s="78">
        <f>EXP(F40)-1</f>
        <v>9.1442264442951782E-2</v>
      </c>
      <c r="G46" s="74"/>
      <c r="H46" s="74"/>
    </row>
    <row r="47" spans="2:8" s="73" customFormat="1" ht="14.55" x14ac:dyDescent="0.35"/>
    <row r="48" spans="2:8" s="73" customFormat="1" ht="14.55" x14ac:dyDescent="0.35"/>
    <row r="49" spans="2:12" ht="14.55" x14ac:dyDescent="0.35">
      <c r="B49" s="60" t="s">
        <v>6</v>
      </c>
      <c r="C49" t="s">
        <v>78</v>
      </c>
    </row>
    <row r="50" spans="2:12" s="107" customFormat="1" ht="14.55" x14ac:dyDescent="0.35">
      <c r="B50" s="108"/>
    </row>
    <row r="51" spans="2:12" s="107" customFormat="1" ht="14.55" x14ac:dyDescent="0.35">
      <c r="B51" s="108"/>
    </row>
    <row r="52" spans="2:12" s="107" customFormat="1" ht="46.95" customHeight="1" x14ac:dyDescent="0.35">
      <c r="B52" s="108"/>
    </row>
    <row r="53" spans="2:12" s="107" customFormat="1" ht="14.55" x14ac:dyDescent="0.35">
      <c r="B53" s="108"/>
    </row>
    <row r="54" spans="2:12" x14ac:dyDescent="0.3">
      <c r="C54" s="111" t="s">
        <v>237</v>
      </c>
    </row>
    <row r="55" spans="2:12" x14ac:dyDescent="0.3">
      <c r="C55" s="111" t="s">
        <v>238</v>
      </c>
      <c r="L55" s="134"/>
    </row>
    <row r="56" spans="2:12" x14ac:dyDescent="0.3">
      <c r="C56" s="111" t="s">
        <v>79</v>
      </c>
      <c r="L56" s="134"/>
    </row>
    <row r="57" spans="2:12" x14ac:dyDescent="0.3">
      <c r="C57" s="111" t="s">
        <v>88</v>
      </c>
      <c r="J57" s="134"/>
      <c r="L57" s="134"/>
    </row>
    <row r="58" spans="2:12" x14ac:dyDescent="0.3">
      <c r="C58" s="111" t="s">
        <v>239</v>
      </c>
      <c r="J58" s="134"/>
      <c r="L58" s="134"/>
    </row>
    <row r="59" spans="2:12" s="86" customFormat="1" x14ac:dyDescent="0.3">
      <c r="C59" s="88"/>
      <c r="J59" s="134"/>
      <c r="K59" s="134"/>
      <c r="L59" s="134"/>
    </row>
    <row r="60" spans="2:12" s="86" customFormat="1" x14ac:dyDescent="0.3">
      <c r="C60" s="87"/>
      <c r="J60" s="134"/>
      <c r="K60" s="134"/>
      <c r="L60" s="134"/>
    </row>
    <row r="61" spans="2:12" x14ac:dyDescent="0.3">
      <c r="C61" s="111" t="s">
        <v>219</v>
      </c>
      <c r="D61" s="111"/>
      <c r="E61" s="112">
        <v>500</v>
      </c>
      <c r="J61" s="134"/>
      <c r="K61" s="134"/>
      <c r="L61" s="134"/>
    </row>
    <row r="62" spans="2:12" x14ac:dyDescent="0.3">
      <c r="C62" s="111" t="s">
        <v>220</v>
      </c>
      <c r="D62" s="111"/>
      <c r="E62" s="112">
        <f>PV(0.1,3,-500)</f>
        <v>1243.4259954921124</v>
      </c>
      <c r="J62" s="134"/>
      <c r="K62" s="134"/>
      <c r="L62" s="134"/>
    </row>
    <row r="63" spans="2:12" x14ac:dyDescent="0.3">
      <c r="C63" s="111" t="s">
        <v>221</v>
      </c>
      <c r="D63" s="111"/>
      <c r="E63" s="112">
        <f>PV(0.1,7,0,PV(0.1,2,500,-250))</f>
        <v>339.27809469798802</v>
      </c>
      <c r="J63" s="134"/>
      <c r="K63" s="111"/>
      <c r="L63" s="134"/>
    </row>
    <row r="64" spans="2:12" x14ac:dyDescent="0.3">
      <c r="C64" s="111" t="s">
        <v>99</v>
      </c>
      <c r="D64" s="111"/>
      <c r="E64" s="112">
        <f>E62+E63+E61</f>
        <v>2082.7040901901005</v>
      </c>
      <c r="J64" s="111"/>
      <c r="K64" s="111"/>
      <c r="L64" s="112"/>
    </row>
    <row r="65" spans="2:14" ht="14.55" x14ac:dyDescent="0.35">
      <c r="C65" s="111" t="s">
        <v>100</v>
      </c>
      <c r="D65" s="111"/>
      <c r="E65" s="112">
        <f>2000-E64</f>
        <v>-82.704090190100487</v>
      </c>
      <c r="J65" s="111"/>
      <c r="K65" s="111"/>
      <c r="L65" s="112"/>
    </row>
    <row r="66" spans="2:14" ht="14.55" x14ac:dyDescent="0.35">
      <c r="C66" s="111" t="s">
        <v>222</v>
      </c>
      <c r="D66" s="111"/>
      <c r="E66" s="112">
        <f>FV(0.1,3,0,-E65)</f>
        <v>-110.07914404302379</v>
      </c>
      <c r="J66" s="111"/>
      <c r="K66" s="111"/>
      <c r="L66" s="112"/>
    </row>
    <row r="67" spans="2:14" ht="14.55" x14ac:dyDescent="0.35">
      <c r="C67" s="111" t="s">
        <v>101</v>
      </c>
      <c r="D67" s="111"/>
      <c r="E67" s="112">
        <f>PMT(0.1,4,-E66)</f>
        <v>-34.726756042532024</v>
      </c>
      <c r="H67" s="111"/>
      <c r="J67" s="111"/>
      <c r="K67" s="111"/>
      <c r="L67" s="112"/>
    </row>
    <row r="68" spans="2:14" ht="14.55" x14ac:dyDescent="0.35">
      <c r="F68" s="43"/>
    </row>
    <row r="69" spans="2:14" ht="14.55" x14ac:dyDescent="0.35">
      <c r="B69" s="60" t="s">
        <v>7</v>
      </c>
      <c r="C69" t="s">
        <v>20</v>
      </c>
    </row>
    <row r="70" spans="2:14" ht="17.55" x14ac:dyDescent="0.65">
      <c r="C70" t="s">
        <v>223</v>
      </c>
      <c r="I70" s="18" t="s">
        <v>3</v>
      </c>
      <c r="J70" s="18" t="s">
        <v>17</v>
      </c>
      <c r="K70" s="18" t="s">
        <v>18</v>
      </c>
      <c r="L70" s="18" t="s">
        <v>29</v>
      </c>
      <c r="M70" s="18" t="s">
        <v>19</v>
      </c>
      <c r="N70" s="18"/>
    </row>
    <row r="71" spans="2:14" ht="14.55" x14ac:dyDescent="0.35">
      <c r="C71" t="s">
        <v>102</v>
      </c>
      <c r="I71" s="17">
        <v>1</v>
      </c>
      <c r="J71">
        <v>2500</v>
      </c>
      <c r="K71">
        <v>1800</v>
      </c>
      <c r="L71">
        <v>300</v>
      </c>
      <c r="M71">
        <v>125</v>
      </c>
    </row>
    <row r="72" spans="2:14" ht="15" thickBot="1" x14ac:dyDescent="0.4">
      <c r="I72" s="17">
        <v>2</v>
      </c>
      <c r="J72">
        <v>3000</v>
      </c>
      <c r="K72">
        <v>2200</v>
      </c>
      <c r="L72">
        <v>315</v>
      </c>
      <c r="M72">
        <v>150</v>
      </c>
    </row>
    <row r="73" spans="2:14" ht="15" thickBot="1" x14ac:dyDescent="0.4">
      <c r="C73" s="7" t="s">
        <v>21</v>
      </c>
      <c r="E73" s="19">
        <v>5</v>
      </c>
      <c r="I73" s="17">
        <v>3</v>
      </c>
      <c r="J73">
        <v>3250</v>
      </c>
      <c r="K73">
        <v>2400</v>
      </c>
      <c r="L73">
        <v>325</v>
      </c>
      <c r="M73">
        <v>162</v>
      </c>
    </row>
    <row r="74" spans="2:14" ht="15" thickBot="1" x14ac:dyDescent="0.4">
      <c r="C74" s="16"/>
      <c r="I74" s="17">
        <v>4</v>
      </c>
      <c r="J74">
        <v>4000</v>
      </c>
      <c r="K74">
        <v>3100</v>
      </c>
      <c r="L74">
        <v>400</v>
      </c>
      <c r="M74">
        <v>200</v>
      </c>
    </row>
    <row r="75" spans="2:14" ht="15" thickBot="1" x14ac:dyDescent="0.4">
      <c r="C75" s="7" t="s">
        <v>224</v>
      </c>
      <c r="E75" s="20">
        <f>VLOOKUP(E73,I71:M80,5)</f>
        <v>225</v>
      </c>
      <c r="I75" s="17">
        <v>5</v>
      </c>
      <c r="J75">
        <v>4500</v>
      </c>
      <c r="K75">
        <v>3300</v>
      </c>
      <c r="L75">
        <v>430</v>
      </c>
      <c r="M75">
        <v>225</v>
      </c>
    </row>
    <row r="76" spans="2:14" ht="14.55" x14ac:dyDescent="0.35">
      <c r="I76" s="17">
        <v>6</v>
      </c>
      <c r="J76">
        <v>5200</v>
      </c>
      <c r="K76">
        <v>3900</v>
      </c>
      <c r="L76">
        <v>450</v>
      </c>
      <c r="M76">
        <v>260</v>
      </c>
    </row>
    <row r="77" spans="2:14" ht="14.55" x14ac:dyDescent="0.35">
      <c r="I77" s="17">
        <v>7</v>
      </c>
      <c r="J77">
        <v>5900</v>
      </c>
      <c r="K77">
        <v>4400</v>
      </c>
      <c r="L77">
        <v>500</v>
      </c>
      <c r="M77">
        <v>295</v>
      </c>
    </row>
    <row r="78" spans="2:14" ht="14.55" x14ac:dyDescent="0.35">
      <c r="I78" s="17">
        <v>8</v>
      </c>
      <c r="J78">
        <v>6500</v>
      </c>
      <c r="K78">
        <v>4800</v>
      </c>
      <c r="L78">
        <v>550</v>
      </c>
      <c r="M78">
        <v>325</v>
      </c>
    </row>
    <row r="79" spans="2:14" ht="14.55" x14ac:dyDescent="0.35">
      <c r="I79" s="17">
        <v>9</v>
      </c>
      <c r="J79">
        <v>8000</v>
      </c>
      <c r="K79">
        <v>6000</v>
      </c>
      <c r="L79">
        <v>590</v>
      </c>
      <c r="M79">
        <v>400</v>
      </c>
    </row>
    <row r="80" spans="2:14" ht="14.55" x14ac:dyDescent="0.35">
      <c r="I80" s="17">
        <v>10</v>
      </c>
      <c r="J80">
        <v>9250</v>
      </c>
      <c r="K80">
        <v>6900</v>
      </c>
      <c r="L80">
        <v>700</v>
      </c>
      <c r="M80">
        <v>475</v>
      </c>
    </row>
    <row r="82" spans="2:4" ht="14.55" x14ac:dyDescent="0.35">
      <c r="C82" t="s">
        <v>225</v>
      </c>
    </row>
    <row r="83" spans="2:4" ht="14.55" x14ac:dyDescent="0.35">
      <c r="B83" s="85" t="s">
        <v>134</v>
      </c>
      <c r="C83" t="s">
        <v>226</v>
      </c>
    </row>
    <row r="84" spans="2:4" ht="15" thickBot="1" x14ac:dyDescent="0.4"/>
    <row r="85" spans="2:4" ht="15" thickBot="1" x14ac:dyDescent="0.4">
      <c r="C85" s="89" t="s">
        <v>3</v>
      </c>
      <c r="D85" s="90" t="s">
        <v>17</v>
      </c>
    </row>
    <row r="86" spans="2:4" ht="14.55" x14ac:dyDescent="0.35">
      <c r="C86" s="91">
        <v>2005</v>
      </c>
      <c r="D86" s="96">
        <v>1345000</v>
      </c>
    </row>
    <row r="87" spans="2:4" ht="14.55" x14ac:dyDescent="0.35">
      <c r="C87" s="92">
        <v>2006</v>
      </c>
      <c r="D87" s="97">
        <v>1472000</v>
      </c>
    </row>
    <row r="88" spans="2:4" ht="14.55" x14ac:dyDescent="0.35">
      <c r="C88" s="92">
        <v>2007</v>
      </c>
      <c r="D88" s="97">
        <v>1725000</v>
      </c>
    </row>
    <row r="89" spans="2:4" ht="14.55" x14ac:dyDescent="0.35">
      <c r="C89" s="92">
        <v>2008</v>
      </c>
      <c r="D89" s="97">
        <v>1654000</v>
      </c>
    </row>
    <row r="90" spans="2:4" ht="14.55" x14ac:dyDescent="0.35">
      <c r="C90" s="92">
        <v>2009</v>
      </c>
      <c r="D90" s="97">
        <v>1925000</v>
      </c>
    </row>
    <row r="91" spans="2:4" ht="14.55" x14ac:dyDescent="0.35">
      <c r="C91" s="92">
        <v>2010</v>
      </c>
      <c r="D91" s="97">
        <v>2164500</v>
      </c>
    </row>
    <row r="92" spans="2:4" ht="15" thickBot="1" x14ac:dyDescent="0.4">
      <c r="C92" s="93">
        <v>2011</v>
      </c>
      <c r="D92" s="94">
        <f>TREND(D86:D91,C86:C91,C92)</f>
        <v>2252800</v>
      </c>
    </row>
  </sheetData>
  <mergeCells count="1">
    <mergeCell ref="D34:E34"/>
  </mergeCells>
  <pageMargins left="0.7" right="0.7" top="0.75" bottom="0.75" header="0.3" footer="0.3"/>
  <pageSetup orientation="portrait"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4:L73"/>
  <sheetViews>
    <sheetView topLeftCell="A43" zoomScale="115" zoomScaleNormal="115" workbookViewId="0">
      <selection activeCell="I47" sqref="I47"/>
    </sheetView>
  </sheetViews>
  <sheetFormatPr defaultColWidth="8.77734375" defaultRowHeight="14.4" x14ac:dyDescent="0.3"/>
  <cols>
    <col min="1" max="1" width="6.21875" style="22" customWidth="1"/>
    <col min="2" max="2" width="4" style="21" customWidth="1"/>
    <col min="3" max="3" width="30.77734375" style="21" customWidth="1"/>
    <col min="4" max="4" width="17" style="22" customWidth="1"/>
    <col min="5" max="6" width="14.5546875" style="22" customWidth="1"/>
    <col min="7" max="7" width="4.109375" style="22" customWidth="1"/>
    <col min="8" max="16384" width="8.77734375" style="22"/>
  </cols>
  <sheetData>
    <row r="24" spans="3:6" ht="15" thickBot="1" x14ac:dyDescent="0.35"/>
    <row r="25" spans="3:6" ht="19.5" customHeight="1" thickBot="1" x14ac:dyDescent="0.35">
      <c r="C25" s="141" t="s">
        <v>60</v>
      </c>
      <c r="D25" s="142"/>
      <c r="E25" s="142"/>
      <c r="F25" s="142"/>
    </row>
    <row r="26" spans="3:6" ht="17.399999999999999" customHeight="1" x14ac:dyDescent="0.3">
      <c r="C26" s="38" t="s">
        <v>275</v>
      </c>
      <c r="F26" s="117">
        <v>-0.1</v>
      </c>
    </row>
    <row r="27" spans="3:6" x14ac:dyDescent="0.3">
      <c r="C27" s="38" t="s">
        <v>59</v>
      </c>
      <c r="F27" s="117">
        <v>4.4999999999999998E-2</v>
      </c>
    </row>
    <row r="28" spans="3:6" x14ac:dyDescent="0.3">
      <c r="C28" s="38" t="s">
        <v>58</v>
      </c>
      <c r="F28" s="117">
        <v>6.7500000000000004E-2</v>
      </c>
    </row>
    <row r="29" spans="3:6" x14ac:dyDescent="0.3">
      <c r="C29" s="38" t="s">
        <v>276</v>
      </c>
      <c r="F29" s="116">
        <v>0.28000000000000003</v>
      </c>
    </row>
    <row r="30" spans="3:6" x14ac:dyDescent="0.3">
      <c r="C30" s="38" t="s">
        <v>277</v>
      </c>
      <c r="F30" s="115">
        <v>150000</v>
      </c>
    </row>
    <row r="31" spans="3:6" x14ac:dyDescent="0.3">
      <c r="C31" s="38" t="s">
        <v>278</v>
      </c>
      <c r="F31" s="115">
        <v>50000</v>
      </c>
    </row>
    <row r="32" spans="3:6" x14ac:dyDescent="0.3">
      <c r="C32" s="38" t="s">
        <v>279</v>
      </c>
      <c r="F32" s="115">
        <v>10000</v>
      </c>
    </row>
    <row r="33" spans="3:12" ht="7.5" customHeight="1" thickBot="1" x14ac:dyDescent="0.35">
      <c r="C33" s="39"/>
      <c r="D33" s="26"/>
      <c r="E33" s="26"/>
      <c r="F33" s="40"/>
    </row>
    <row r="34" spans="3:12" x14ac:dyDescent="0.3">
      <c r="C34" s="38"/>
      <c r="F34" s="37"/>
    </row>
    <row r="35" spans="3:12" ht="21.6" thickBot="1" x14ac:dyDescent="0.45">
      <c r="C35" s="140" t="s">
        <v>22</v>
      </c>
      <c r="D35" s="140"/>
      <c r="E35" s="140"/>
      <c r="F35" s="140"/>
    </row>
    <row r="36" spans="3:12" ht="19.5" customHeight="1" thickBot="1" x14ac:dyDescent="0.35">
      <c r="C36" s="32"/>
      <c r="D36" s="136" t="s">
        <v>23</v>
      </c>
      <c r="E36" s="136" t="s">
        <v>104</v>
      </c>
      <c r="F36" s="136" t="s">
        <v>280</v>
      </c>
    </row>
    <row r="37" spans="3:12" ht="17.25" customHeight="1" x14ac:dyDescent="0.3">
      <c r="C37" s="33" t="s">
        <v>17</v>
      </c>
      <c r="D37" s="22">
        <v>3514000</v>
      </c>
      <c r="E37" s="22">
        <v>3795120.0000000005</v>
      </c>
      <c r="F37" s="45">
        <f>E37*(1+F26)</f>
        <v>3415608.0000000005</v>
      </c>
    </row>
    <row r="38" spans="3:12" ht="17.399999999999999" x14ac:dyDescent="0.55000000000000004">
      <c r="C38" s="36" t="s">
        <v>24</v>
      </c>
      <c r="D38" s="24">
        <v>2284100</v>
      </c>
      <c r="E38" s="24">
        <v>2656584</v>
      </c>
      <c r="F38" s="24">
        <f>$F$37*J38*0.9</f>
        <v>2074981.8600000003</v>
      </c>
      <c r="H38" s="51">
        <f>D38/D$37</f>
        <v>0.65</v>
      </c>
      <c r="I38" s="51">
        <f>E38/E$37</f>
        <v>0.7</v>
      </c>
      <c r="J38" s="53">
        <f>AVERAGE(H38:I38)</f>
        <v>0.67500000000000004</v>
      </c>
      <c r="L38"/>
    </row>
    <row r="39" spans="3:12" x14ac:dyDescent="0.3">
      <c r="C39" s="34" t="s">
        <v>25</v>
      </c>
      <c r="D39" s="22">
        <f>D37-D38</f>
        <v>1229900</v>
      </c>
      <c r="E39" s="22">
        <f>E37-E38</f>
        <v>1138536.0000000005</v>
      </c>
      <c r="F39" s="22">
        <f>F37-F38</f>
        <v>1340626.1400000001</v>
      </c>
    </row>
    <row r="40" spans="3:12" x14ac:dyDescent="0.3">
      <c r="C40" s="33" t="s">
        <v>26</v>
      </c>
      <c r="D40" s="22">
        <v>350000</v>
      </c>
      <c r="E40" s="22">
        <v>375000</v>
      </c>
      <c r="F40" s="22">
        <f>$F$37*J40</f>
        <v>338850</v>
      </c>
      <c r="G40" s="25"/>
      <c r="H40" s="51">
        <f>D40/D$37</f>
        <v>9.9601593625498003E-2</v>
      </c>
      <c r="I40" s="51">
        <f>E40/E$37</f>
        <v>9.8811104787200399E-2</v>
      </c>
      <c r="J40" s="53">
        <f>AVERAGE(H40:I40)</f>
        <v>9.9206349206349201E-2</v>
      </c>
    </row>
    <row r="41" spans="3:12" x14ac:dyDescent="0.3">
      <c r="C41" s="33" t="s">
        <v>27</v>
      </c>
      <c r="D41" s="22">
        <v>120000</v>
      </c>
      <c r="E41" s="22">
        <v>125000</v>
      </c>
      <c r="F41" s="62">
        <v>120000</v>
      </c>
    </row>
    <row r="42" spans="3:12" ht="17.399999999999999" x14ac:dyDescent="0.55000000000000004">
      <c r="C42" s="36" t="s">
        <v>28</v>
      </c>
      <c r="D42" s="24">
        <v>30000</v>
      </c>
      <c r="E42" s="24">
        <v>32500</v>
      </c>
      <c r="F42" s="24">
        <f>E42+F32</f>
        <v>42500</v>
      </c>
    </row>
    <row r="43" spans="3:12" x14ac:dyDescent="0.3">
      <c r="C43" s="34" t="s">
        <v>29</v>
      </c>
      <c r="D43" s="22">
        <f>D39-D40-D41-D42</f>
        <v>729900</v>
      </c>
      <c r="E43" s="22">
        <f>E39-E40-E41-E42</f>
        <v>606036.00000000047</v>
      </c>
      <c r="F43" s="22">
        <f>F39-F40-F41-F42</f>
        <v>839276.14000000013</v>
      </c>
    </row>
    <row r="44" spans="3:12" ht="17.399999999999999" x14ac:dyDescent="0.55000000000000004">
      <c r="C44" s="36" t="s">
        <v>30</v>
      </c>
      <c r="D44" s="24">
        <v>56000</v>
      </c>
      <c r="E44" s="24">
        <v>62900</v>
      </c>
      <c r="F44" s="24">
        <f>F27*E61+F28*E64</f>
        <v>43200</v>
      </c>
    </row>
    <row r="45" spans="3:12" x14ac:dyDescent="0.3">
      <c r="C45" s="34" t="s">
        <v>31</v>
      </c>
      <c r="D45" s="22">
        <f>D43-D44</f>
        <v>673900</v>
      </c>
      <c r="E45" s="22">
        <f>E43-E44</f>
        <v>543136.00000000047</v>
      </c>
      <c r="F45" s="22">
        <f>F43-F44</f>
        <v>796076.14000000013</v>
      </c>
    </row>
    <row r="46" spans="3:12" ht="17.399999999999999" x14ac:dyDescent="0.55000000000000004">
      <c r="C46" s="36" t="s">
        <v>32</v>
      </c>
      <c r="D46" s="24">
        <v>235800</v>
      </c>
      <c r="E46" s="24">
        <v>207600</v>
      </c>
      <c r="F46" s="24">
        <f>F45*F29</f>
        <v>222901.31920000006</v>
      </c>
    </row>
    <row r="47" spans="3:12" ht="15" thickBot="1" x14ac:dyDescent="0.35">
      <c r="C47" s="35" t="s">
        <v>19</v>
      </c>
      <c r="D47" s="26">
        <f>D45-D46</f>
        <v>438100</v>
      </c>
      <c r="E47" s="26">
        <f>E45-E46</f>
        <v>335536.00000000047</v>
      </c>
      <c r="F47" s="26">
        <f>F45-F46</f>
        <v>573174.8208000001</v>
      </c>
    </row>
    <row r="48" spans="3:12" ht="7.5" customHeight="1" x14ac:dyDescent="0.3">
      <c r="C48" s="16"/>
      <c r="D48"/>
      <c r="E48"/>
      <c r="F48"/>
    </row>
    <row r="49" spans="2:10" ht="21.6" thickBot="1" x14ac:dyDescent="0.45">
      <c r="B49" s="140" t="s">
        <v>33</v>
      </c>
      <c r="C49" s="140"/>
      <c r="D49" s="140"/>
      <c r="E49" s="140"/>
      <c r="F49" s="140"/>
    </row>
    <row r="50" spans="2:10" ht="22.2" customHeight="1" thickBot="1" x14ac:dyDescent="0.35">
      <c r="B50" s="130" t="s">
        <v>34</v>
      </c>
      <c r="C50" s="130"/>
      <c r="D50" s="136" t="s">
        <v>23</v>
      </c>
      <c r="E50" s="136" t="s">
        <v>104</v>
      </c>
      <c r="F50" s="136" t="s">
        <v>280</v>
      </c>
    </row>
    <row r="51" spans="2:10" x14ac:dyDescent="0.3">
      <c r="B51" s="28" t="s">
        <v>35</v>
      </c>
      <c r="D51" s="22">
        <v>52000</v>
      </c>
      <c r="E51" s="22">
        <v>118036</v>
      </c>
      <c r="F51" s="62">
        <v>118036</v>
      </c>
    </row>
    <row r="52" spans="2:10" x14ac:dyDescent="0.3">
      <c r="B52" s="28" t="s">
        <v>36</v>
      </c>
      <c r="D52" s="22">
        <v>406000</v>
      </c>
      <c r="E52" s="22">
        <v>540000</v>
      </c>
      <c r="F52" s="22">
        <f>$F$37*J52</f>
        <v>440316</v>
      </c>
      <c r="H52" s="51">
        <f>D52/D$37</f>
        <v>0.11553784860557768</v>
      </c>
      <c r="I52" s="51">
        <f>E52/E$37</f>
        <v>0.14228799089356856</v>
      </c>
      <c r="J52" s="53">
        <f>AVERAGE(H52:I52)</f>
        <v>0.12891291974957311</v>
      </c>
    </row>
    <row r="53" spans="2:10" ht="16.2" x14ac:dyDescent="0.45">
      <c r="B53" s="28" t="s">
        <v>37</v>
      </c>
      <c r="D53" s="24">
        <v>854000</v>
      </c>
      <c r="E53" s="24">
        <v>740000</v>
      </c>
      <c r="F53" s="95">
        <f>$F$37*J53</f>
        <v>748044.00000000012</v>
      </c>
      <c r="H53" s="51">
        <f>D53/D$37</f>
        <v>0.24302788844621515</v>
      </c>
      <c r="I53" s="51">
        <f>E53/E$37</f>
        <v>0.19498724678007545</v>
      </c>
      <c r="J53" s="53">
        <f>AVERAGE(H53:I53)</f>
        <v>0.2190075676131453</v>
      </c>
    </row>
    <row r="54" spans="2:10" x14ac:dyDescent="0.3">
      <c r="B54" s="29" t="s">
        <v>38</v>
      </c>
      <c r="D54" s="22">
        <f>D51+D52+D53</f>
        <v>1312000</v>
      </c>
      <c r="E54" s="22">
        <f>E51+E52+E53</f>
        <v>1398036</v>
      </c>
      <c r="F54" s="22">
        <f>SUM(F51:F53)</f>
        <v>1306396</v>
      </c>
    </row>
    <row r="55" spans="2:10" x14ac:dyDescent="0.3">
      <c r="B55" s="28" t="s">
        <v>39</v>
      </c>
      <c r="D55" s="22">
        <v>429000</v>
      </c>
      <c r="E55" s="22">
        <v>580000</v>
      </c>
      <c r="F55" s="22">
        <f>E55+F31</f>
        <v>630000</v>
      </c>
    </row>
    <row r="56" spans="2:10" ht="16.2" x14ac:dyDescent="0.45">
      <c r="B56" s="28" t="s">
        <v>40</v>
      </c>
      <c r="D56" s="24">
        <v>126000</v>
      </c>
      <c r="E56" s="24">
        <v>158500</v>
      </c>
      <c r="F56" s="24">
        <f>E56+F42</f>
        <v>201000</v>
      </c>
    </row>
    <row r="57" spans="2:10" ht="16.2" x14ac:dyDescent="0.45">
      <c r="B57" s="29" t="s">
        <v>41</v>
      </c>
      <c r="D57" s="24">
        <f>D55-D56</f>
        <v>303000</v>
      </c>
      <c r="E57" s="24">
        <f>E55-E56</f>
        <v>421500</v>
      </c>
      <c r="F57" s="24">
        <f>F55-F56</f>
        <v>429000</v>
      </c>
    </row>
    <row r="58" spans="2:10" ht="15" thickBot="1" x14ac:dyDescent="0.35">
      <c r="B58" s="29" t="s">
        <v>42</v>
      </c>
      <c r="D58" s="22">
        <f>D54+D57</f>
        <v>1615000</v>
      </c>
      <c r="E58" s="22">
        <f>E54+E57</f>
        <v>1819536</v>
      </c>
      <c r="F58" s="22">
        <f>F54+F57</f>
        <v>1735396</v>
      </c>
    </row>
    <row r="59" spans="2:10" ht="16.05" customHeight="1" x14ac:dyDescent="0.3">
      <c r="B59" s="27" t="s">
        <v>43</v>
      </c>
      <c r="C59" s="27"/>
      <c r="D59" s="23"/>
      <c r="E59" s="23"/>
      <c r="F59" s="23"/>
    </row>
    <row r="60" spans="2:10" x14ac:dyDescent="0.3">
      <c r="B60" s="28" t="s">
        <v>44</v>
      </c>
      <c r="D60" s="22">
        <v>130000</v>
      </c>
      <c r="E60" s="22">
        <v>150000</v>
      </c>
      <c r="F60" s="22">
        <f>$F$37*J60</f>
        <v>130680.00000000001</v>
      </c>
      <c r="H60" s="51">
        <f>D60/D$37</f>
        <v>3.6994877632327831E-2</v>
      </c>
      <c r="I60" s="51">
        <f>E60/E$37</f>
        <v>3.9524441914880158E-2</v>
      </c>
      <c r="J60" s="53">
        <f>AVERAGE(H60:I60)</f>
        <v>3.8259659773603995E-2</v>
      </c>
    </row>
    <row r="61" spans="2:10" x14ac:dyDescent="0.3">
      <c r="B61" s="28" t="s">
        <v>45</v>
      </c>
      <c r="D61" s="22">
        <v>179000</v>
      </c>
      <c r="E61" s="22">
        <v>210000</v>
      </c>
      <c r="F61" s="62">
        <v>160000</v>
      </c>
    </row>
    <row r="62" spans="2:10" ht="16.2" x14ac:dyDescent="0.45">
      <c r="B62" s="28" t="s">
        <v>46</v>
      </c>
      <c r="D62" s="24">
        <v>118000</v>
      </c>
      <c r="E62" s="24">
        <v>85000</v>
      </c>
      <c r="F62" s="56">
        <v>62500</v>
      </c>
    </row>
    <row r="63" spans="2:10" x14ac:dyDescent="0.3">
      <c r="B63" s="29" t="s">
        <v>47</v>
      </c>
      <c r="D63" s="22">
        <f>D60+D61+D62</f>
        <v>427000</v>
      </c>
      <c r="E63" s="22">
        <f>E60+E61+E62</f>
        <v>445000</v>
      </c>
      <c r="F63" s="22">
        <f>SUM(F60:F62)</f>
        <v>353180</v>
      </c>
    </row>
    <row r="64" spans="2:10" ht="16.2" x14ac:dyDescent="0.45">
      <c r="B64" s="28" t="s">
        <v>48</v>
      </c>
      <c r="D64" s="24">
        <v>614000</v>
      </c>
      <c r="E64" s="24">
        <v>500000</v>
      </c>
      <c r="F64" s="56">
        <v>350000</v>
      </c>
    </row>
    <row r="65" spans="2:6" x14ac:dyDescent="0.3">
      <c r="B65" s="29" t="s">
        <v>49</v>
      </c>
      <c r="D65" s="22">
        <f>D63+D64</f>
        <v>1041000</v>
      </c>
      <c r="E65" s="22">
        <f>E63+E64</f>
        <v>945000</v>
      </c>
      <c r="F65" s="22">
        <f>F63+F64</f>
        <v>703180</v>
      </c>
    </row>
    <row r="66" spans="2:6" x14ac:dyDescent="0.3">
      <c r="B66" s="28" t="s">
        <v>50</v>
      </c>
      <c r="D66" s="22">
        <v>395000</v>
      </c>
      <c r="E66" s="22">
        <v>395000</v>
      </c>
      <c r="F66" s="62">
        <v>395000</v>
      </c>
    </row>
    <row r="67" spans="2:6" ht="16.2" x14ac:dyDescent="0.45">
      <c r="B67" s="28" t="s">
        <v>51</v>
      </c>
      <c r="D67" s="24">
        <v>179000</v>
      </c>
      <c r="E67" s="24">
        <v>479536</v>
      </c>
      <c r="F67" s="24">
        <f>E67+F47-F30</f>
        <v>902710.8208000001</v>
      </c>
    </row>
    <row r="68" spans="2:6" ht="16.2" x14ac:dyDescent="0.45">
      <c r="B68" s="29" t="s">
        <v>52</v>
      </c>
      <c r="D68" s="24">
        <f>D66+D67</f>
        <v>574000</v>
      </c>
      <c r="E68" s="24">
        <f>E66+E67</f>
        <v>874536</v>
      </c>
      <c r="F68" s="24">
        <f>F66+F67</f>
        <v>1297710.8208000001</v>
      </c>
    </row>
    <row r="69" spans="2:6" ht="15" thickBot="1" x14ac:dyDescent="0.35">
      <c r="B69" s="30" t="s">
        <v>53</v>
      </c>
      <c r="C69" s="31"/>
      <c r="D69" s="26">
        <f>D65+D68</f>
        <v>1615000</v>
      </c>
      <c r="E69" s="26">
        <f>E65+E68</f>
        <v>1819536</v>
      </c>
      <c r="F69" s="26">
        <f>F65+F68</f>
        <v>2000890.8208000001</v>
      </c>
    </row>
    <row r="70" spans="2:6" ht="6" customHeight="1" x14ac:dyDescent="0.3"/>
    <row r="71" spans="2:6" ht="4.5" customHeight="1" thickBot="1" x14ac:dyDescent="0.35"/>
    <row r="72" spans="2:6" ht="15" thickBot="1" x14ac:dyDescent="0.35">
      <c r="C72" s="21" t="s">
        <v>281</v>
      </c>
      <c r="F72" s="20">
        <f>F69-F58</f>
        <v>265494.8208000001</v>
      </c>
    </row>
    <row r="73" spans="2:6" ht="10.5" customHeight="1" thickBot="1" x14ac:dyDescent="0.35">
      <c r="B73" s="31"/>
      <c r="C73" s="31"/>
      <c r="D73" s="26"/>
      <c r="E73" s="26"/>
      <c r="F73" s="26"/>
    </row>
  </sheetData>
  <mergeCells count="3">
    <mergeCell ref="C35:F35"/>
    <mergeCell ref="B49:F49"/>
    <mergeCell ref="C25:F25"/>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71"/>
  <sheetViews>
    <sheetView topLeftCell="A55" zoomScaleNormal="100" workbookViewId="0">
      <selection activeCell="C69" sqref="A59:C69"/>
    </sheetView>
  </sheetViews>
  <sheetFormatPr defaultRowHeight="14.4" x14ac:dyDescent="0.3"/>
  <cols>
    <col min="1" max="1" width="3" customWidth="1"/>
    <col min="3" max="3" width="3.77734375" customWidth="1"/>
    <col min="4" max="4" width="3.21875" customWidth="1"/>
    <col min="5" max="5" width="72.21875" customWidth="1"/>
    <col min="6" max="6" width="11.44140625" bestFit="1" customWidth="1"/>
    <col min="7" max="7" width="12.109375" bestFit="1" customWidth="1"/>
    <col min="9" max="9" width="15" customWidth="1"/>
    <col min="10" max="10" width="14.5546875" customWidth="1"/>
    <col min="11" max="11" width="14" customWidth="1"/>
    <col min="12" max="12" width="9.44140625" bestFit="1" customWidth="1"/>
    <col min="13" max="13" width="11.6640625" customWidth="1"/>
    <col min="14" max="14" width="10.6640625" customWidth="1"/>
  </cols>
  <sheetData>
    <row r="2" spans="2:13" ht="18.45" x14ac:dyDescent="0.35">
      <c r="B2" s="120"/>
      <c r="C2" s="118"/>
      <c r="D2" s="118"/>
      <c r="E2" s="123" t="s">
        <v>256</v>
      </c>
      <c r="F2" s="118"/>
      <c r="G2" s="118"/>
    </row>
    <row r="3" spans="2:13" ht="14.55" x14ac:dyDescent="0.35">
      <c r="B3" s="120"/>
      <c r="C3" s="118"/>
      <c r="D3" s="118"/>
      <c r="E3" s="124" t="s">
        <v>131</v>
      </c>
      <c r="F3" s="118"/>
      <c r="G3" s="118"/>
    </row>
    <row r="4" spans="2:13" ht="14.55" x14ac:dyDescent="0.35">
      <c r="B4" s="120"/>
      <c r="C4" s="118"/>
      <c r="D4" s="118"/>
      <c r="E4" s="118"/>
      <c r="F4" s="118"/>
      <c r="G4" s="118"/>
    </row>
    <row r="5" spans="2:13" ht="14.55" x14ac:dyDescent="0.35">
      <c r="B5" s="120"/>
      <c r="C5" s="118"/>
      <c r="D5" s="118"/>
      <c r="E5" s="119" t="s">
        <v>132</v>
      </c>
      <c r="F5" s="118"/>
      <c r="G5" s="118"/>
    </row>
    <row r="6" spans="2:13" ht="14.55" x14ac:dyDescent="0.35">
      <c r="B6" s="118"/>
      <c r="C6" s="118"/>
      <c r="D6" s="118"/>
      <c r="E6" s="119" t="s">
        <v>133</v>
      </c>
      <c r="F6" s="118"/>
      <c r="G6" s="118"/>
    </row>
    <row r="7" spans="2:13" ht="15" thickBot="1" x14ac:dyDescent="0.35">
      <c r="B7" s="118"/>
      <c r="C7" s="118"/>
      <c r="D7" s="118"/>
      <c r="E7" s="118"/>
      <c r="F7" s="118"/>
      <c r="G7" s="118"/>
    </row>
    <row r="8" spans="2:13" ht="15" customHeight="1" thickBot="1" x14ac:dyDescent="0.35">
      <c r="B8" s="122" t="b">
        <v>0</v>
      </c>
      <c r="C8" s="121" t="s">
        <v>0</v>
      </c>
      <c r="D8" s="121"/>
      <c r="E8" s="143" t="s">
        <v>259</v>
      </c>
      <c r="F8" s="118"/>
      <c r="G8" s="118"/>
      <c r="L8" s="114"/>
      <c r="M8" s="114"/>
    </row>
    <row r="9" spans="2:13" ht="18" customHeight="1" x14ac:dyDescent="0.3">
      <c r="B9" s="118"/>
      <c r="C9" s="118"/>
      <c r="D9" s="118"/>
      <c r="E9" s="143"/>
      <c r="F9" s="118"/>
      <c r="G9" s="118"/>
      <c r="L9" s="114"/>
      <c r="M9" s="114"/>
    </row>
    <row r="10" spans="2:13" ht="15" thickBot="1" x14ac:dyDescent="0.35">
      <c r="B10" s="118"/>
      <c r="C10" s="118"/>
      <c r="D10" s="118"/>
      <c r="E10" s="118"/>
      <c r="F10" s="118"/>
      <c r="G10" s="118"/>
      <c r="L10" s="114"/>
      <c r="M10" s="114"/>
    </row>
    <row r="11" spans="2:13" ht="15" thickBot="1" x14ac:dyDescent="0.35">
      <c r="B11" s="122" t="b">
        <v>1</v>
      </c>
      <c r="C11" s="121" t="s">
        <v>1</v>
      </c>
      <c r="D11" s="121"/>
      <c r="E11" s="143" t="s">
        <v>257</v>
      </c>
      <c r="F11" s="118"/>
      <c r="G11" s="118"/>
      <c r="K11" s="113"/>
      <c r="L11" s="114"/>
      <c r="M11" s="114"/>
    </row>
    <row r="12" spans="2:13" x14ac:dyDescent="0.3">
      <c r="B12" s="118"/>
      <c r="C12" s="118"/>
      <c r="D12" s="118"/>
      <c r="E12" s="143"/>
      <c r="F12" s="118"/>
      <c r="G12" s="118"/>
      <c r="K12" s="113"/>
      <c r="L12" s="114"/>
      <c r="M12" s="114"/>
    </row>
    <row r="13" spans="2:13" ht="15" thickBot="1" x14ac:dyDescent="0.35">
      <c r="B13" s="118"/>
      <c r="C13" s="118"/>
      <c r="D13" s="118"/>
      <c r="E13" s="118"/>
      <c r="F13" s="118"/>
      <c r="G13" s="118"/>
      <c r="K13" s="113"/>
      <c r="L13" s="114"/>
      <c r="M13" s="114"/>
    </row>
    <row r="14" spans="2:13" ht="15" customHeight="1" thickBot="1" x14ac:dyDescent="0.35">
      <c r="B14" s="122" t="b">
        <v>0</v>
      </c>
      <c r="C14" s="121" t="s">
        <v>6</v>
      </c>
      <c r="D14" s="121"/>
      <c r="E14" s="143" t="s">
        <v>258</v>
      </c>
      <c r="F14" s="118"/>
      <c r="G14" s="118"/>
      <c r="K14" s="113"/>
      <c r="L14" s="114"/>
      <c r="M14" s="114"/>
    </row>
    <row r="15" spans="2:13" x14ac:dyDescent="0.3">
      <c r="B15" s="118"/>
      <c r="C15" s="118"/>
      <c r="D15" s="118"/>
      <c r="E15" s="143"/>
      <c r="F15" s="118"/>
      <c r="G15" s="118"/>
      <c r="K15" s="113"/>
      <c r="L15" s="114"/>
      <c r="M15" s="114"/>
    </row>
    <row r="16" spans="2:13" ht="15" thickBot="1" x14ac:dyDescent="0.35">
      <c r="B16" s="118"/>
      <c r="C16" s="118"/>
      <c r="D16" s="118"/>
      <c r="E16" s="118"/>
      <c r="F16" s="118"/>
      <c r="G16" s="118"/>
      <c r="K16" s="113"/>
      <c r="L16" s="114"/>
      <c r="M16" s="114"/>
    </row>
    <row r="17" spans="2:13" ht="15" customHeight="1" thickBot="1" x14ac:dyDescent="0.35">
      <c r="B17" s="122" t="s">
        <v>150</v>
      </c>
      <c r="C17" s="121" t="s">
        <v>7</v>
      </c>
      <c r="D17" s="121"/>
      <c r="E17" s="143" t="s">
        <v>260</v>
      </c>
      <c r="F17" s="118"/>
      <c r="G17" s="118"/>
      <c r="K17" s="113"/>
      <c r="L17" s="114"/>
      <c r="M17" s="114"/>
    </row>
    <row r="18" spans="2:13" ht="83.4" customHeight="1" x14ac:dyDescent="0.3">
      <c r="B18" s="118"/>
      <c r="C18" s="118"/>
      <c r="D18" s="118"/>
      <c r="E18" s="143"/>
      <c r="F18" s="118"/>
      <c r="G18" s="118"/>
      <c r="K18" s="113"/>
      <c r="L18" s="114"/>
      <c r="M18" s="114"/>
    </row>
    <row r="19" spans="2:13" x14ac:dyDescent="0.3">
      <c r="B19" s="120"/>
      <c r="C19" s="118"/>
      <c r="D19" s="118"/>
      <c r="E19" s="125"/>
      <c r="F19" s="118"/>
      <c r="G19" s="118"/>
      <c r="H19" s="131">
        <v>10</v>
      </c>
      <c r="I19" s="114">
        <f t="shared" ref="I19:I27" si="0">$I$29</f>
        <v>11818.158154365607</v>
      </c>
      <c r="J19" s="114">
        <f>I19</f>
        <v>11818.158154365607</v>
      </c>
      <c r="L19" s="114"/>
      <c r="M19" s="114"/>
    </row>
    <row r="20" spans="2:13" x14ac:dyDescent="0.3">
      <c r="B20" s="120"/>
      <c r="C20" s="118"/>
      <c r="D20" s="118" t="s">
        <v>136</v>
      </c>
      <c r="E20" s="133" t="s">
        <v>227</v>
      </c>
      <c r="F20" s="118"/>
      <c r="G20" s="118"/>
      <c r="H20" s="131">
        <v>11</v>
      </c>
      <c r="I20" s="132">
        <f t="shared" si="0"/>
        <v>11818.158154365607</v>
      </c>
      <c r="J20" s="114">
        <f>I20+J19*1.05</f>
        <v>24227.224216449496</v>
      </c>
      <c r="L20" s="114"/>
      <c r="M20" s="114"/>
    </row>
    <row r="21" spans="2:13" x14ac:dyDescent="0.3">
      <c r="B21" s="120"/>
      <c r="C21" s="118"/>
      <c r="D21" s="118" t="s">
        <v>137</v>
      </c>
      <c r="E21" s="133" t="s">
        <v>228</v>
      </c>
      <c r="F21" s="118"/>
      <c r="G21" s="118"/>
      <c r="H21" s="131">
        <v>12</v>
      </c>
      <c r="I21" s="132">
        <f t="shared" si="0"/>
        <v>11818.158154365607</v>
      </c>
      <c r="J21" s="132">
        <f t="shared" ref="J21:J27" si="1">I21+J20*1.05</f>
        <v>37256.74358163758</v>
      </c>
      <c r="M21" s="114"/>
    </row>
    <row r="22" spans="2:13" x14ac:dyDescent="0.3">
      <c r="B22" s="120"/>
      <c r="C22" s="118"/>
      <c r="D22" s="118" t="s">
        <v>138</v>
      </c>
      <c r="E22" s="133" t="s">
        <v>229</v>
      </c>
      <c r="F22" s="118"/>
      <c r="G22" s="118"/>
      <c r="H22" s="131">
        <v>13</v>
      </c>
      <c r="I22" s="132">
        <f t="shared" si="0"/>
        <v>11818.158154365607</v>
      </c>
      <c r="J22" s="132">
        <f t="shared" si="1"/>
        <v>50937.738915085065</v>
      </c>
      <c r="M22" s="114"/>
    </row>
    <row r="23" spans="2:13" x14ac:dyDescent="0.3">
      <c r="B23" s="120"/>
      <c r="C23" s="118"/>
      <c r="D23" s="118" t="s">
        <v>139</v>
      </c>
      <c r="E23" s="133" t="s">
        <v>261</v>
      </c>
      <c r="F23" s="118"/>
      <c r="G23" s="118"/>
      <c r="H23" s="131">
        <v>14</v>
      </c>
      <c r="I23" s="132">
        <f t="shared" si="0"/>
        <v>11818.158154365607</v>
      </c>
      <c r="J23" s="132">
        <f t="shared" si="1"/>
        <v>65302.784015204925</v>
      </c>
      <c r="M23" s="114"/>
    </row>
    <row r="24" spans="2:13" x14ac:dyDescent="0.3">
      <c r="B24" s="120"/>
      <c r="C24" s="118"/>
      <c r="D24" s="118" t="s">
        <v>140</v>
      </c>
      <c r="E24" s="133" t="s">
        <v>262</v>
      </c>
      <c r="F24" s="118"/>
      <c r="G24" s="118"/>
      <c r="H24" s="131">
        <v>15</v>
      </c>
      <c r="I24" s="132">
        <f t="shared" si="0"/>
        <v>11818.158154365607</v>
      </c>
      <c r="J24" s="132">
        <f t="shared" si="1"/>
        <v>80386.081370330779</v>
      </c>
    </row>
    <row r="25" spans="2:13" ht="15" thickBot="1" x14ac:dyDescent="0.35">
      <c r="B25" s="118"/>
      <c r="C25" s="118"/>
      <c r="D25" s="118"/>
      <c r="E25" s="118"/>
      <c r="F25" s="118"/>
      <c r="G25" s="118"/>
      <c r="H25" s="131">
        <v>16</v>
      </c>
      <c r="I25" s="132">
        <f t="shared" si="0"/>
        <v>11818.158154365607</v>
      </c>
      <c r="J25" s="132">
        <f t="shared" si="1"/>
        <v>96223.543593212933</v>
      </c>
    </row>
    <row r="26" spans="2:13" ht="15" customHeight="1" thickBot="1" x14ac:dyDescent="0.35">
      <c r="B26" s="122" t="b">
        <v>1</v>
      </c>
      <c r="C26" s="121" t="s">
        <v>134</v>
      </c>
      <c r="D26" s="121"/>
      <c r="E26" s="143" t="s">
        <v>263</v>
      </c>
      <c r="F26" s="118"/>
      <c r="G26" s="118"/>
      <c r="H26" s="131">
        <v>17</v>
      </c>
      <c r="I26" s="132">
        <f t="shared" si="0"/>
        <v>11818.158154365607</v>
      </c>
      <c r="J26" s="132">
        <f t="shared" si="1"/>
        <v>112852.87892723919</v>
      </c>
    </row>
    <row r="27" spans="2:13" x14ac:dyDescent="0.3">
      <c r="B27" s="118"/>
      <c r="C27" s="118"/>
      <c r="D27" s="118"/>
      <c r="E27" s="143"/>
      <c r="F27" s="118"/>
      <c r="G27" s="118"/>
      <c r="H27" s="131">
        <v>18</v>
      </c>
      <c r="I27" s="132">
        <f t="shared" si="0"/>
        <v>11818.158154365607</v>
      </c>
      <c r="J27" s="132">
        <f t="shared" si="1"/>
        <v>130313.68102796676</v>
      </c>
      <c r="K27" s="114">
        <f>PV(0.05,4,35000,0,1)</f>
        <v>-130313.68102796674</v>
      </c>
    </row>
    <row r="28" spans="2:13" ht="15" thickBot="1" x14ac:dyDescent="0.35">
      <c r="B28" s="118"/>
      <c r="C28" s="118"/>
      <c r="D28" s="118"/>
      <c r="E28" s="118"/>
      <c r="F28" s="118"/>
      <c r="G28" s="118"/>
      <c r="H28" s="118"/>
      <c r="I28" s="118"/>
      <c r="J28" s="118"/>
    </row>
    <row r="29" spans="2:13" ht="15" thickBot="1" x14ac:dyDescent="0.35">
      <c r="B29" s="122" t="s">
        <v>270</v>
      </c>
      <c r="C29" s="121" t="s">
        <v>135</v>
      </c>
      <c r="D29" s="121"/>
      <c r="E29" s="143" t="s">
        <v>264</v>
      </c>
      <c r="F29" s="118"/>
      <c r="G29" s="118"/>
      <c r="H29" s="118"/>
      <c r="I29" s="114">
        <f>PMT(0.05,9,0,K27)</f>
        <v>11818.158154365607</v>
      </c>
      <c r="J29" s="118"/>
    </row>
    <row r="30" spans="2:13" ht="19.2" customHeight="1" x14ac:dyDescent="0.3">
      <c r="B30" s="118"/>
      <c r="C30" s="118"/>
      <c r="D30" s="118"/>
      <c r="E30" s="143"/>
      <c r="F30" s="118"/>
      <c r="G30" s="118"/>
    </row>
    <row r="31" spans="2:13" x14ac:dyDescent="0.3">
      <c r="B31" s="118"/>
      <c r="C31" s="118"/>
      <c r="D31" s="118" t="s">
        <v>136</v>
      </c>
      <c r="E31" s="134" t="s">
        <v>265</v>
      </c>
      <c r="F31" s="118"/>
      <c r="G31" s="118"/>
    </row>
    <row r="32" spans="2:13" x14ac:dyDescent="0.3">
      <c r="B32" s="118"/>
      <c r="C32" s="118"/>
      <c r="D32" s="118" t="s">
        <v>137</v>
      </c>
      <c r="E32" s="134" t="s">
        <v>266</v>
      </c>
      <c r="F32" s="118"/>
      <c r="G32" s="118"/>
    </row>
    <row r="33" spans="2:10" x14ac:dyDescent="0.3">
      <c r="B33" s="118"/>
      <c r="C33" s="118"/>
      <c r="D33" s="118" t="s">
        <v>138</v>
      </c>
      <c r="E33" s="134" t="s">
        <v>267</v>
      </c>
      <c r="F33" s="118"/>
      <c r="G33" s="118"/>
    </row>
    <row r="34" spans="2:10" x14ac:dyDescent="0.3">
      <c r="B34" s="118"/>
      <c r="C34" s="118"/>
      <c r="D34" s="118" t="s">
        <v>139</v>
      </c>
      <c r="E34" s="134" t="s">
        <v>268</v>
      </c>
      <c r="F34" s="118"/>
      <c r="G34" s="118"/>
    </row>
    <row r="35" spans="2:10" x14ac:dyDescent="0.3">
      <c r="B35" s="118"/>
      <c r="C35" s="118"/>
      <c r="D35" s="118" t="s">
        <v>140</v>
      </c>
      <c r="E35" s="134" t="s">
        <v>269</v>
      </c>
      <c r="F35" s="118"/>
      <c r="G35" s="118"/>
    </row>
    <row r="36" spans="2:10" ht="15" thickBot="1" x14ac:dyDescent="0.35">
      <c r="B36" s="118"/>
      <c r="C36" s="118"/>
      <c r="D36" s="118"/>
      <c r="E36" s="118"/>
      <c r="F36" s="118"/>
      <c r="G36" s="118"/>
    </row>
    <row r="37" spans="2:10" ht="15" thickBot="1" x14ac:dyDescent="0.35">
      <c r="B37" s="122" t="s">
        <v>272</v>
      </c>
      <c r="C37" s="121" t="s">
        <v>141</v>
      </c>
      <c r="D37" s="121"/>
      <c r="E37" s="143" t="s">
        <v>271</v>
      </c>
      <c r="F37" s="118"/>
      <c r="G37" s="118"/>
    </row>
    <row r="38" spans="2:10" ht="83.4" customHeight="1" x14ac:dyDescent="0.3">
      <c r="B38" s="118"/>
      <c r="C38" s="118"/>
      <c r="D38" s="118"/>
      <c r="E38" s="143"/>
      <c r="F38" s="118"/>
      <c r="G38" s="118"/>
    </row>
    <row r="39" spans="2:10" ht="24" customHeight="1" x14ac:dyDescent="0.3">
      <c r="B39" s="118"/>
      <c r="C39" s="118"/>
      <c r="D39" s="118" t="s">
        <v>136</v>
      </c>
      <c r="E39" s="118" t="s">
        <v>142</v>
      </c>
      <c r="F39" s="118"/>
      <c r="G39" s="118"/>
    </row>
    <row r="40" spans="2:10" x14ac:dyDescent="0.3">
      <c r="B40" s="118"/>
      <c r="C40" s="118"/>
      <c r="D40" s="118" t="s">
        <v>137</v>
      </c>
      <c r="E40" s="118" t="s">
        <v>143</v>
      </c>
      <c r="F40" s="118"/>
      <c r="G40" s="118"/>
      <c r="H40">
        <f>EXP(0.065)*10000</f>
        <v>10671.590243841927</v>
      </c>
    </row>
    <row r="41" spans="2:10" x14ac:dyDescent="0.3">
      <c r="B41" s="118"/>
      <c r="C41" s="118"/>
      <c r="D41" s="118" t="s">
        <v>138</v>
      </c>
      <c r="E41" s="118" t="s">
        <v>144</v>
      </c>
      <c r="F41" s="118"/>
      <c r="G41" s="118"/>
      <c r="H41" s="118"/>
      <c r="I41" s="118"/>
      <c r="J41" s="118"/>
    </row>
    <row r="42" spans="2:10" x14ac:dyDescent="0.3">
      <c r="B42" s="118"/>
      <c r="C42" s="118"/>
      <c r="D42" s="118" t="s">
        <v>139</v>
      </c>
      <c r="E42" s="118" t="s">
        <v>145</v>
      </c>
      <c r="F42" s="118"/>
      <c r="G42" s="118"/>
      <c r="H42" s="118"/>
      <c r="I42" s="118"/>
      <c r="J42" s="118"/>
    </row>
    <row r="43" spans="2:10" x14ac:dyDescent="0.3">
      <c r="B43" s="118"/>
      <c r="C43" s="118"/>
      <c r="D43" s="118" t="s">
        <v>140</v>
      </c>
      <c r="E43" s="118" t="s">
        <v>146</v>
      </c>
      <c r="F43" s="118"/>
      <c r="G43" s="118"/>
      <c r="H43" s="118"/>
      <c r="I43" s="118"/>
      <c r="J43" s="118"/>
    </row>
    <row r="44" spans="2:10" ht="15" thickBot="1" x14ac:dyDescent="0.35">
      <c r="B44" s="118"/>
      <c r="C44" s="118"/>
      <c r="D44" s="118"/>
      <c r="E44" s="118"/>
      <c r="F44" s="118"/>
      <c r="G44" s="118"/>
      <c r="H44" s="118"/>
      <c r="I44" s="118"/>
      <c r="J44" s="118"/>
    </row>
    <row r="45" spans="2:10" ht="15" thickBot="1" x14ac:dyDescent="0.35">
      <c r="B45" s="122" t="s">
        <v>150</v>
      </c>
      <c r="C45" s="135" t="s">
        <v>147</v>
      </c>
      <c r="D45" s="121"/>
      <c r="E45" s="143" t="s">
        <v>230</v>
      </c>
      <c r="F45" s="118"/>
      <c r="G45" s="118"/>
    </row>
    <row r="46" spans="2:10" ht="35.4" customHeight="1" x14ac:dyDescent="0.3">
      <c r="B46" s="118"/>
      <c r="C46" s="118"/>
      <c r="D46" s="118"/>
      <c r="E46" s="143"/>
      <c r="F46" s="118"/>
      <c r="G46" s="118"/>
    </row>
    <row r="47" spans="2:10" x14ac:dyDescent="0.3">
      <c r="B47" s="118"/>
      <c r="C47" s="118"/>
      <c r="D47" s="118" t="s">
        <v>136</v>
      </c>
      <c r="E47" s="118" t="s">
        <v>231</v>
      </c>
      <c r="F47" s="118"/>
      <c r="G47" s="118"/>
    </row>
    <row r="48" spans="2:10" x14ac:dyDescent="0.3">
      <c r="B48" s="118"/>
      <c r="C48" s="118"/>
      <c r="D48" s="118" t="s">
        <v>137</v>
      </c>
      <c r="E48" s="118" t="s">
        <v>232</v>
      </c>
      <c r="F48" s="118"/>
      <c r="G48" s="118"/>
    </row>
    <row r="49" spans="1:8" x14ac:dyDescent="0.3">
      <c r="B49" s="118"/>
      <c r="C49" s="118"/>
      <c r="D49" s="118" t="s">
        <v>138</v>
      </c>
      <c r="E49" s="118" t="s">
        <v>233</v>
      </c>
      <c r="F49" s="118"/>
      <c r="G49" s="118"/>
    </row>
    <row r="50" spans="1:8" x14ac:dyDescent="0.3">
      <c r="B50" s="118"/>
      <c r="C50" s="118"/>
      <c r="D50" s="118" t="s">
        <v>139</v>
      </c>
      <c r="E50" s="118" t="s">
        <v>234</v>
      </c>
      <c r="F50" s="118"/>
      <c r="G50" s="118"/>
    </row>
    <row r="51" spans="1:8" x14ac:dyDescent="0.3">
      <c r="B51" s="118"/>
      <c r="C51" s="118"/>
      <c r="D51" s="118" t="s">
        <v>140</v>
      </c>
      <c r="E51" s="118" t="s">
        <v>235</v>
      </c>
      <c r="F51" s="118"/>
      <c r="G51" s="118"/>
    </row>
    <row r="52" spans="1:8" ht="15" thickBot="1" x14ac:dyDescent="0.35">
      <c r="B52" s="118"/>
      <c r="C52" s="118"/>
      <c r="D52" s="118"/>
      <c r="E52" s="118"/>
      <c r="F52" s="118"/>
      <c r="G52" s="118"/>
    </row>
    <row r="53" spans="1:8" ht="15" customHeight="1" thickBot="1" x14ac:dyDescent="0.35">
      <c r="B53" s="122" t="b">
        <v>0</v>
      </c>
      <c r="C53" s="135" t="s">
        <v>148</v>
      </c>
      <c r="D53" s="121"/>
      <c r="E53" s="143" t="s">
        <v>273</v>
      </c>
      <c r="F53" s="118"/>
      <c r="G53" s="118"/>
    </row>
    <row r="54" spans="1:8" ht="51" customHeight="1" x14ac:dyDescent="0.3">
      <c r="A54" s="118"/>
      <c r="B54" s="118"/>
      <c r="C54" s="118"/>
      <c r="D54" s="118"/>
      <c r="E54" s="143"/>
      <c r="F54" s="118"/>
      <c r="G54" s="118"/>
      <c r="H54" s="118"/>
    </row>
    <row r="55" spans="1:8" ht="15" thickBot="1" x14ac:dyDescent="0.35">
      <c r="A55" s="118"/>
      <c r="B55" s="118"/>
      <c r="C55" s="118"/>
      <c r="D55" s="118"/>
      <c r="E55" s="118"/>
      <c r="F55" s="118"/>
      <c r="G55" s="118"/>
      <c r="H55" s="118"/>
    </row>
    <row r="56" spans="1:8" ht="15" thickBot="1" x14ac:dyDescent="0.35">
      <c r="A56" s="118"/>
      <c r="B56" s="122" t="b">
        <v>0</v>
      </c>
      <c r="C56" s="135" t="s">
        <v>149</v>
      </c>
      <c r="D56" s="121"/>
      <c r="E56" s="143" t="s">
        <v>274</v>
      </c>
      <c r="F56" s="118"/>
      <c r="G56" s="118"/>
      <c r="H56" s="118"/>
    </row>
    <row r="57" spans="1:8" ht="27.45" customHeight="1" thickBot="1" x14ac:dyDescent="0.35">
      <c r="A57" s="118"/>
      <c r="B57" s="118"/>
      <c r="C57" s="118"/>
      <c r="D57" s="118"/>
      <c r="E57" s="143"/>
      <c r="F57" s="118"/>
      <c r="G57" s="118"/>
      <c r="H57" s="118"/>
    </row>
    <row r="58" spans="1:8" ht="15" thickBot="1" x14ac:dyDescent="0.35">
      <c r="A58" s="144" t="s">
        <v>151</v>
      </c>
      <c r="B58" s="145"/>
      <c r="C58" s="145"/>
      <c r="D58" s="145"/>
      <c r="E58" s="145"/>
      <c r="F58" s="145"/>
      <c r="G58" s="145"/>
      <c r="H58" s="146"/>
    </row>
    <row r="59" spans="1:8" ht="15" thickBot="1" x14ac:dyDescent="0.35">
      <c r="A59" s="156" t="s">
        <v>287</v>
      </c>
      <c r="B59" s="156"/>
      <c r="C59" s="156"/>
    </row>
    <row r="60" spans="1:8" x14ac:dyDescent="0.3">
      <c r="A60" s="150">
        <v>1</v>
      </c>
      <c r="B60" s="151" t="b">
        <f>B8</f>
        <v>0</v>
      </c>
      <c r="C60" s="152"/>
      <c r="D60" s="118"/>
      <c r="E60" s="118"/>
      <c r="F60" s="118"/>
      <c r="G60" s="118"/>
      <c r="H60" s="118"/>
    </row>
    <row r="61" spans="1:8" x14ac:dyDescent="0.3">
      <c r="A61" s="70">
        <v>2</v>
      </c>
      <c r="B61" s="149" t="b">
        <f>B11</f>
        <v>1</v>
      </c>
      <c r="C61" s="153"/>
      <c r="D61" s="118"/>
      <c r="E61" s="118"/>
      <c r="F61" s="118"/>
      <c r="G61" s="118"/>
      <c r="H61" s="118"/>
    </row>
    <row r="62" spans="1:8" x14ac:dyDescent="0.3">
      <c r="A62" s="70">
        <v>3</v>
      </c>
      <c r="B62" s="149" t="b">
        <f>B14</f>
        <v>0</v>
      </c>
      <c r="C62" s="153"/>
      <c r="D62" s="118"/>
      <c r="E62" s="118"/>
      <c r="F62" s="118"/>
      <c r="G62" s="118"/>
      <c r="H62" s="118"/>
    </row>
    <row r="63" spans="1:8" x14ac:dyDescent="0.3">
      <c r="A63" s="70">
        <v>4</v>
      </c>
      <c r="B63" s="149" t="str">
        <f>B17</f>
        <v>D</v>
      </c>
      <c r="C63" s="153"/>
      <c r="D63" s="118"/>
      <c r="E63" s="118"/>
      <c r="F63" s="118"/>
      <c r="G63" s="118"/>
      <c r="H63" s="118"/>
    </row>
    <row r="64" spans="1:8" x14ac:dyDescent="0.3">
      <c r="A64" s="70">
        <v>5</v>
      </c>
      <c r="B64" s="149" t="b">
        <f>B26</f>
        <v>1</v>
      </c>
      <c r="C64" s="153"/>
      <c r="D64" s="118"/>
      <c r="E64" s="118"/>
      <c r="F64" s="118"/>
      <c r="G64" s="118"/>
      <c r="H64" s="118"/>
    </row>
    <row r="65" spans="1:8" x14ac:dyDescent="0.3">
      <c r="A65" s="70">
        <v>6</v>
      </c>
      <c r="B65" s="149" t="str">
        <f>B29</f>
        <v>E</v>
      </c>
      <c r="C65" s="153"/>
      <c r="D65" s="118"/>
      <c r="E65" s="118"/>
      <c r="F65" s="118"/>
      <c r="G65" s="118"/>
      <c r="H65" s="118"/>
    </row>
    <row r="66" spans="1:8" x14ac:dyDescent="0.3">
      <c r="A66" s="70">
        <v>7</v>
      </c>
      <c r="B66" s="149" t="str">
        <f>B37</f>
        <v>A</v>
      </c>
      <c r="C66" s="153"/>
      <c r="D66" s="118"/>
      <c r="E66" s="118"/>
      <c r="F66" s="118"/>
      <c r="G66" s="118"/>
      <c r="H66" s="118"/>
    </row>
    <row r="67" spans="1:8" x14ac:dyDescent="0.3">
      <c r="A67" s="70">
        <v>8</v>
      </c>
      <c r="B67" s="149" t="str">
        <f>B45</f>
        <v>D</v>
      </c>
      <c r="C67" s="153"/>
      <c r="D67" s="118"/>
      <c r="E67" s="118"/>
      <c r="F67" s="118"/>
      <c r="G67" s="118"/>
      <c r="H67" s="118"/>
    </row>
    <row r="68" spans="1:8" x14ac:dyDescent="0.3">
      <c r="A68" s="70">
        <v>9</v>
      </c>
      <c r="B68" s="149" t="b">
        <f>B53</f>
        <v>0</v>
      </c>
      <c r="C68" s="153"/>
      <c r="D68" s="118"/>
      <c r="E68" s="118"/>
      <c r="F68" s="118"/>
      <c r="G68" s="118"/>
      <c r="H68" s="118"/>
    </row>
    <row r="69" spans="1:8" ht="15" thickBot="1" x14ac:dyDescent="0.35">
      <c r="A69" s="65">
        <v>10</v>
      </c>
      <c r="B69" s="154" t="b">
        <f>B56</f>
        <v>0</v>
      </c>
      <c r="C69" s="155"/>
      <c r="D69" s="118"/>
      <c r="E69" s="118"/>
      <c r="F69" s="118"/>
      <c r="G69" s="118"/>
      <c r="H69" s="118"/>
    </row>
    <row r="70" spans="1:8" x14ac:dyDescent="0.3">
      <c r="A70" s="118"/>
      <c r="B70" s="118"/>
    </row>
    <row r="71" spans="1:8" x14ac:dyDescent="0.3">
      <c r="A71" s="118"/>
      <c r="B71" s="118"/>
    </row>
  </sheetData>
  <mergeCells count="12">
    <mergeCell ref="A59:C59"/>
    <mergeCell ref="E11:E12"/>
    <mergeCell ref="E14:E15"/>
    <mergeCell ref="E8:E9"/>
    <mergeCell ref="E17:E18"/>
    <mergeCell ref="E26:E27"/>
    <mergeCell ref="E29:E30"/>
    <mergeCell ref="A58:H58"/>
    <mergeCell ref="E37:E38"/>
    <mergeCell ref="E45:E46"/>
    <mergeCell ref="E56:E57"/>
    <mergeCell ref="E53:E5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INSTRUCTIONS</vt:lpstr>
      <vt:lpstr>P1 - 25 Pts</vt:lpstr>
      <vt:lpstr>P2 - 5 Pts</vt:lpstr>
      <vt:lpstr>P3 - 15 Pts</vt:lpstr>
      <vt:lpstr>P4 - 20 Pts</vt:lpstr>
      <vt:lpstr>P5 - 15 Pts</vt:lpstr>
      <vt:lpstr>MC-TF - 20 Pts</vt:lpstr>
      <vt:lpstr>Periods</vt:lpstr>
      <vt:lpstr>'P5 - 15 Pts'!Print_Area</vt:lpstr>
      <vt:lpstr>Rate</vt:lpstr>
      <vt:lpstr>Term</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dc:creator>
  <cp:lastModifiedBy>Dr.Del Hawley</cp:lastModifiedBy>
  <cp:lastPrinted>2010-04-05T16:12:33Z</cp:lastPrinted>
  <dcterms:created xsi:type="dcterms:W3CDTF">2010-01-13T00:10:02Z</dcterms:created>
  <dcterms:modified xsi:type="dcterms:W3CDTF">2012-10-25T20:06:53Z</dcterms:modified>
</cp:coreProperties>
</file>