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16" yWindow="132" windowWidth="20112" windowHeight="7920" tabRatio="681" activeTab="3"/>
  </bookViews>
  <sheets>
    <sheet name="INSTRUCTIONS" sheetId="6" r:id="rId1"/>
    <sheet name="P1 - 25 Pts" sheetId="2" r:id="rId2"/>
    <sheet name="P2 - 5 Pts" sheetId="10" r:id="rId3"/>
    <sheet name="P3 - 10 Pts" sheetId="11" r:id="rId4"/>
    <sheet name="P4 - 25 Pts" sheetId="1" r:id="rId5"/>
    <sheet name="P5 - 15 Pts" sheetId="5" r:id="rId6"/>
    <sheet name="MC-TF - 20 Pts" sheetId="12" r:id="rId7"/>
  </sheets>
  <definedNames>
    <definedName name="Periods">'P1 - 25 Pts'!$O$21</definedName>
    <definedName name="_xlnm.Print_Area" localSheetId="5">'P5 - 15 Pts'!$B$35:$F$73</definedName>
    <definedName name="Rate">'P1 - 25 Pts'!$F$23</definedName>
    <definedName name="Term">'P1 - 25 Pts'!$F$22</definedName>
  </definedNames>
  <calcPr calcId="145621"/>
</workbook>
</file>

<file path=xl/calcChain.xml><?xml version="1.0" encoding="utf-8"?>
<calcChain xmlns="http://schemas.openxmlformats.org/spreadsheetml/2006/main">
  <c r="F38" i="5" l="1"/>
  <c r="E99" i="1"/>
  <c r="E88" i="1"/>
  <c r="E89" i="1" s="1"/>
  <c r="E70" i="1" l="1"/>
  <c r="E69" i="1"/>
  <c r="D39" i="1" l="1"/>
  <c r="E23" i="1"/>
  <c r="E24" i="1" s="1"/>
  <c r="E25" i="1" s="1"/>
  <c r="E26" i="1" s="1"/>
  <c r="H18" i="11"/>
  <c r="H20" i="11" s="1"/>
  <c r="H22" i="11" s="1"/>
  <c r="H24" i="11" s="1"/>
  <c r="O17" i="11" s="1"/>
  <c r="D115" i="1" l="1"/>
  <c r="F51" i="1"/>
  <c r="F50" i="1"/>
  <c r="F49" i="1"/>
  <c r="F48" i="1"/>
  <c r="E27" i="1"/>
  <c r="E28" i="1" s="1"/>
  <c r="E29" i="1" s="1"/>
  <c r="E30" i="1" s="1"/>
  <c r="P16" i="11" l="1"/>
  <c r="E57" i="5"/>
  <c r="E58" i="5" s="1"/>
  <c r="D58" i="5"/>
  <c r="D57" i="5"/>
  <c r="E54" i="5"/>
  <c r="E68" i="5"/>
  <c r="E63" i="5"/>
  <c r="E65" i="5" s="1"/>
  <c r="E69" i="5" s="1"/>
  <c r="D68" i="5"/>
  <c r="D63" i="5"/>
  <c r="D65" i="5" s="1"/>
  <c r="D69" i="5" s="1"/>
  <c r="D54" i="5"/>
  <c r="E39" i="5"/>
  <c r="E43" i="5" s="1"/>
  <c r="E45" i="5" s="1"/>
  <c r="E47" i="5" s="1"/>
  <c r="D39" i="5"/>
  <c r="D43" i="5" s="1"/>
  <c r="D45" i="5" s="1"/>
  <c r="D47" i="5" s="1"/>
  <c r="F55" i="5"/>
  <c r="J60" i="5"/>
  <c r="I60" i="5"/>
  <c r="H60" i="5"/>
  <c r="I53" i="5"/>
  <c r="H53" i="5"/>
  <c r="I52" i="5"/>
  <c r="H52" i="5"/>
  <c r="J52" i="5" s="1"/>
  <c r="F44" i="5"/>
  <c r="F42" i="5"/>
  <c r="F56" i="5" s="1"/>
  <c r="I40" i="5"/>
  <c r="H40" i="5"/>
  <c r="I38" i="5"/>
  <c r="H38" i="5"/>
  <c r="J38" i="5" s="1"/>
  <c r="F37" i="5"/>
  <c r="G19" i="10"/>
  <c r="F39" i="5" l="1"/>
  <c r="O18" i="11"/>
  <c r="P17" i="11"/>
  <c r="F57" i="5"/>
  <c r="E71" i="1"/>
  <c r="E72" i="1" s="1"/>
  <c r="G23" i="10"/>
  <c r="G31" i="10" s="1"/>
  <c r="F60" i="5"/>
  <c r="F63" i="5" s="1"/>
  <c r="F65" i="5" s="1"/>
  <c r="J40" i="5"/>
  <c r="F40" i="5" s="1"/>
  <c r="J53" i="5"/>
  <c r="F53" i="5" s="1"/>
  <c r="F52" i="5"/>
  <c r="G30" i="2"/>
  <c r="O21" i="2"/>
  <c r="E73" i="1" l="1"/>
  <c r="E74" i="1" s="1"/>
  <c r="O19" i="11"/>
  <c r="O20" i="11" s="1"/>
  <c r="O21" i="11" s="1"/>
  <c r="O22" i="11" s="1"/>
  <c r="O23" i="11" s="1"/>
  <c r="O24" i="11" s="1"/>
  <c r="O25" i="11" s="1"/>
  <c r="O26" i="11" s="1"/>
  <c r="O27" i="11" s="1"/>
  <c r="O28" i="11" s="1"/>
  <c r="O29" i="11" s="1"/>
  <c r="O30" i="11" s="1"/>
  <c r="O31" i="11" s="1"/>
  <c r="O32" i="11" s="1"/>
  <c r="O33" i="11" s="1"/>
  <c r="O34" i="11" s="1"/>
  <c r="O35" i="11" s="1"/>
  <c r="O36" i="11" s="1"/>
  <c r="O37" i="11" s="1"/>
  <c r="O38" i="11" s="1"/>
  <c r="O39" i="11" s="1"/>
  <c r="O40" i="11" s="1"/>
  <c r="O41" i="11" s="1"/>
  <c r="O42" i="11" s="1"/>
  <c r="O43" i="11" s="1"/>
  <c r="O44" i="11" s="1"/>
  <c r="O45" i="11" s="1"/>
  <c r="O46" i="11" s="1"/>
  <c r="O47" i="11" s="1"/>
  <c r="O48" i="11" s="1"/>
  <c r="O49" i="11" s="1"/>
  <c r="O50" i="11" s="1"/>
  <c r="O53" i="11" s="1"/>
  <c r="O54" i="11" s="1"/>
  <c r="P18" i="11"/>
  <c r="P19" i="11" s="1"/>
  <c r="P20" i="11" s="1"/>
  <c r="P21" i="11" s="1"/>
  <c r="P22" i="11" s="1"/>
  <c r="P23" i="11" s="1"/>
  <c r="P24" i="11" s="1"/>
  <c r="P25" i="11" s="1"/>
  <c r="P26" i="11" s="1"/>
  <c r="P27" i="11" s="1"/>
  <c r="P28" i="11" s="1"/>
  <c r="P29" i="11" s="1"/>
  <c r="P30" i="11" s="1"/>
  <c r="P31" i="11" s="1"/>
  <c r="P32" i="11" s="1"/>
  <c r="P33" i="11" s="1"/>
  <c r="P34" i="11" s="1"/>
  <c r="P35" i="11" s="1"/>
  <c r="P36" i="11" s="1"/>
  <c r="P37" i="11" s="1"/>
  <c r="P38" i="11" s="1"/>
  <c r="P39" i="11" s="1"/>
  <c r="P40" i="11" s="1"/>
  <c r="P41" i="11" s="1"/>
  <c r="P42" i="11" s="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D31" i="2"/>
  <c r="D35" i="2" s="1"/>
  <c r="H25" i="2"/>
  <c r="F43" i="5"/>
  <c r="F45" i="5" s="1"/>
  <c r="F54" i="5"/>
  <c r="F58" i="5" s="1"/>
  <c r="E31" i="2"/>
  <c r="D90" i="2"/>
  <c r="D89" i="2"/>
  <c r="D88" i="2"/>
  <c r="D87" i="2"/>
  <c r="D86" i="2"/>
  <c r="D85" i="2"/>
  <c r="D84" i="2"/>
  <c r="D83" i="2"/>
  <c r="D82" i="2"/>
  <c r="D81" i="2"/>
  <c r="D80" i="2"/>
  <c r="D79" i="2"/>
  <c r="D67" i="2" l="1"/>
  <c r="D71" i="2"/>
  <c r="D75" i="2"/>
  <c r="D68" i="2"/>
  <c r="D76" i="2"/>
  <c r="D69" i="2"/>
  <c r="D73" i="2"/>
  <c r="D77" i="2"/>
  <c r="D72" i="2"/>
  <c r="D70" i="2"/>
  <c r="D74" i="2"/>
  <c r="D78"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F32" i="2" l="1"/>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<sst xmlns="http://schemas.openxmlformats.org/spreadsheetml/2006/main" count="298" uniqueCount="271">
  <si>
    <t>1.</t>
  </si>
  <si>
    <t>2.</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</si>
  <si>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</si>
  <si>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</si>
  <si>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</si>
  <si>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</si>
  <si>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</si>
  <si>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</si>
  <si>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</si>
  <si>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</si>
  <si>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</si>
  <si>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</si>
  <si>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</si>
  <si>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</si>
  <si>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</si>
  <si>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</si>
  <si>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 xml:space="preserve">In the green cell below, create a formala that extrapolates the linear trend from the </t>
  </si>
  <si>
    <t>Sales</t>
  </si>
  <si>
    <t>CGS</t>
  </si>
  <si>
    <t>Net Income</t>
  </si>
  <si>
    <t xml:space="preserve">In the yellow cell below, create ONE formula that will return </t>
  </si>
  <si>
    <t>Input Cell for Year</t>
  </si>
  <si>
    <t>Income Statement</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</si>
  <si>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</si>
  <si>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</si>
  <si>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</si>
  <si>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</si>
  <si>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</si>
  <si>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</si>
  <si>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</si>
  <si>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</si>
  <si>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</si>
  <si>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</si>
  <si>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</si>
  <si>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</si>
  <si>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</si>
  <si>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</si>
  <si>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</si>
  <si>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</si>
  <si>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</si>
  <si>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</si>
  <si>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</si>
  <si>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</si>
  <si>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</si>
  <si>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</si>
  <si>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</si>
  <si>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</si>
  <si>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</si>
  <si>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</si>
  <si>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</si>
  <si>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</si>
  <si>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</si>
  <si>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</si>
  <si>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</si>
  <si>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</si>
  <si>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</si>
  <si>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</si>
  <si>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</si>
  <si>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</si>
  <si>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</si>
  <si>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</si>
  <si>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</si>
  <si>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</si>
  <si>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</si>
  <si>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</si>
  <si>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</si>
  <si>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</si>
  <si>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</si>
  <si>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</si>
  <si>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</si>
  <si>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</si>
  <si>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</si>
  <si>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</si>
  <si>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</si>
  <si>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</si>
  <si>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</si>
  <si>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</si>
  <si>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</si>
  <si>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</si>
  <si>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</si>
  <si>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</si>
  <si>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</si>
  <si>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</si>
  <si>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</si>
  <si>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</si>
  <si>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</si>
  <si>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</si>
  <si>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</si>
  <si>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</si>
  <si>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</si>
  <si>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</si>
  <si>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</si>
  <si>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</si>
  <si>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</si>
  <si>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</si>
  <si>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</si>
  <si>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</si>
  <si>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</si>
  <si>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</si>
  <si>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</si>
  <si>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</si>
  <si>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</si>
  <si>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</si>
  <si>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given in the input cell. [3 Points]</t>
  </si>
  <si>
    <t>Points as marked for each question.</t>
  </si>
  <si>
    <t>2011</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</si>
  <si>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</si>
  <si>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</si>
  <si>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</si>
  <si>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</si>
  <si>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</si>
  <si>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You are planning for your retirement. Your goal is to accumulate enough money in </t>
  </si>
  <si>
    <t>given in the green input cell below. In the space provided, create whatever formulas are needed</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</si>
  <si>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</si>
  <si>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</si>
  <si>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</si>
  <si>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</si>
  <si>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</si>
  <si>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</si>
  <si>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</si>
  <si>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</si>
  <si>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</si>
  <si>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</si>
  <si>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</si>
  <si>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</si>
  <si>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</si>
  <si>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</si>
  <si>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</si>
  <si>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Value of unknowns at t=2</t>
  </si>
  <si>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</si>
  <si>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</si>
  <si>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</si>
  <si>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</si>
  <si>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</si>
  <si>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</si>
  <si>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</si>
  <si>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</si>
  <si>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</si>
  <si>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E</t>
  </si>
  <si>
    <t>A.</t>
  </si>
  <si>
    <t>B.</t>
  </si>
  <si>
    <t>C.</t>
  </si>
  <si>
    <t>D.</t>
  </si>
  <si>
    <t>E.</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</si>
  <si>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</si>
  <si>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</si>
  <si>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</si>
  <si>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</si>
  <si>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</si>
  <si>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</si>
  <si>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</si>
  <si>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</si>
  <si>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</si>
  <si>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</si>
  <si>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</si>
  <si>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</si>
  <si>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</si>
  <si>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</si>
  <si>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</si>
  <si>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</si>
  <si>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</si>
  <si>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</si>
  <si>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</si>
  <si>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</si>
  <si>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</si>
  <si>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</si>
  <si>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</si>
  <si>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</si>
  <si>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</si>
  <si>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</si>
  <si>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</si>
  <si>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</si>
  <si>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</si>
  <si>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</si>
  <si>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</si>
  <si>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</si>
  <si>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</si>
  <si>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</si>
  <si>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</si>
  <si>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Deposit 31</t>
  </si>
  <si>
    <t>Deposit 32</t>
  </si>
  <si>
    <t>Deposit 33</t>
  </si>
  <si>
    <t>Deposit 34</t>
  </si>
  <si>
    <t>Deposit 35</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</si>
  <si>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</si>
  <si>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</si>
  <si>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</si>
  <si>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</si>
  <si>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</si>
  <si>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</si>
  <si>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</si>
  <si>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</si>
  <si>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</si>
  <si>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</si>
  <si>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</si>
  <si>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</si>
  <si>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</si>
  <si>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</si>
  <si>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</si>
  <si>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</si>
  <si>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</si>
  <si>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</si>
  <si>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</si>
  <si>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</si>
  <si>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</si>
  <si>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</si>
  <si>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</si>
  <si>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</si>
  <si>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</si>
  <si>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</si>
  <si>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The account will have a zero balance after the 25 withdrawals.</t>
  </si>
  <si>
    <t>PV of above on 01/01/2013</t>
  </si>
  <si>
    <t>your retirement account to pay out $250,000 per year for 25 years starting on January 1, 2052.</t>
  </si>
  <si>
    <t>Your first deposit into the account will be on January 1, 2013, in the amount of $25,000.</t>
  </si>
  <si>
    <t>You will then make equal annual deposits into the account on January 1 of every year until 2047</t>
  </si>
  <si>
    <t>(34 additional deposits). The average annual interest rate you expect to earn on the account is</t>
  </si>
  <si>
    <t>to compute the dollar amount of the equal annual deposits that will be needed to meet your goal.</t>
  </si>
  <si>
    <t>Subtract the first deposit</t>
  </si>
  <si>
    <t>PV of the 34 equal annual payments</t>
  </si>
  <si>
    <t>#4</t>
  </si>
  <si>
    <t>#5</t>
  </si>
  <si>
    <t>Amount of each of the 34 payments that</t>
  </si>
  <si>
    <t>has the same value today as #4 above</t>
  </si>
  <si>
    <t>Withdrawal 21</t>
  </si>
  <si>
    <t>Withdrawal 22</t>
  </si>
  <si>
    <t>Withdrawal 23</t>
  </si>
  <si>
    <t>Withdrawal 24</t>
  </si>
  <si>
    <t>Withdrawal 25</t>
  </si>
  <si>
    <t>Amount needed on 01/01/2051</t>
  </si>
  <si>
    <t>Consider the following annual cash flows, each to be received at the ends of</t>
  </si>
  <si>
    <t xml:space="preserve">years, that represent an investment opportunity. The investment will pay nothing </t>
  </si>
  <si>
    <t xml:space="preserve">for the first five years, but then will pay an equal amount each year for 9 years, and then </t>
  </si>
  <si>
    <t>some other amount in the final year.</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</si>
  <si>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[ 5 Points ]</t>
    </r>
  </si>
  <si>
    <t>Your formulas should work for any reasonable value of the input. [5 Points]</t>
  </si>
  <si>
    <t>The total present value of all 11 cash flows, including the four missing ones, is $5,000</t>
  </si>
  <si>
    <t xml:space="preserve">if the discount rate is 10% per year compounded annually. The four missing cash flows, </t>
  </si>
  <si>
    <t>hard-code the numbers in the formulas but the formulas must be shown. [  5 Points ]</t>
  </si>
  <si>
    <t>PV at t=0 of CF 0-2</t>
  </si>
  <si>
    <t>PV at t=0 of CF 7-10</t>
  </si>
  <si>
    <t xml:space="preserve">You will make the annual deposits shown above into an account that earns a 10% annual return on average. </t>
  </si>
  <si>
    <t>You will not make any deposits after t=7, but the accumulated funds will continue to earn 10% per year.</t>
  </si>
  <si>
    <t xml:space="preserve">Create whatever formulas are necessary to compute how much will be in the account 10 years from now. </t>
  </si>
  <si>
    <t>There are no inputs so you can hard-code the numbers in the formulas but the formulas must be shown. [  5 Points ]</t>
  </si>
  <si>
    <t>FV at t=7 of CF 0-7</t>
  </si>
  <si>
    <t>FV at t=10 of above</t>
  </si>
  <si>
    <t xml:space="preserve">the CGS from the table at the right for the year </t>
  </si>
  <si>
    <t>5 previous years of sales and uses it to estimate 2012 sales. [3 Points]</t>
  </si>
  <si>
    <t>Percent Change in Sales from 2011</t>
  </si>
  <si>
    <t>Tax Rate for 2012</t>
  </si>
  <si>
    <t>Common Stock Dividend for 2012</t>
  </si>
  <si>
    <t>Expected addition to Plant and Equipment in 2012</t>
  </si>
  <si>
    <t>Additional depreciation on new Plant/Equip in 2012</t>
  </si>
  <si>
    <t>2012</t>
  </si>
  <si>
    <t>Excess/(Deficit) Financing for 2012</t>
  </si>
  <si>
    <t>The "nonimal" or "stated" rate on a loan or investment is always larger than the effective  rate except in the case of annual compounding when the nominal and effective rates are equal. (True or False?)</t>
  </si>
  <si>
    <t>The future value of a given investment increase as the frequency of compounding for the interest rate increases, other things equal.  (True or False?)</t>
  </si>
  <si>
    <t>The present value of a future cash flow decreases as investors level of risk aversion decreases, other things equal.  (True or False?)</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</si>
  <si>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</si>
  <si>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</si>
  <si>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</si>
  <si>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</si>
  <si>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</si>
  <si>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Objective Section - 20 Points Possible</t>
  </si>
  <si>
    <t>According to financial theory, investors choose to take more risk because they know that taking higher risk investments will result in higher average returns over time. (True or false?)</t>
  </si>
  <si>
    <t>According to the security market line, an increase in the expected rate of inflation will increase the required return on all investments by the same amount, other things equal. (True or false?)</t>
  </si>
  <si>
    <t>The beta coefficient is a measure of a stock's total risk when it is held in isolation. (True or false?)</t>
  </si>
  <si>
    <t>The "real" rate of interest is the minimum rate of return that the average investor would have to expect in order to want to buy the investment in world with no inflation and no risk. (True or false?)</t>
  </si>
  <si>
    <t>If two stocks have a correlation with each other of 0 (zero), then both could have high variability but there is no relationship between the variability of the two stocks. That is, the move totally independently of each other. (True or false?)</t>
  </si>
  <si>
    <t>It is not possible to for a beta coefficient to be greater than +1 or less than -1. (True or false?)</t>
  </si>
  <si>
    <t>20 points of the 100 point total for the exam.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</si>
</sst>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0.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u/>
      <sz val="11"/>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7">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1" fontId="8" fillId="6" borderId="14"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166" fontId="12" fillId="0" borderId="0" xfId="0" applyNumberFormat="1" applyFont="1"/>
    <xf numFmtId="165" fontId="12" fillId="0" borderId="0" xfId="0" applyNumberFormat="1" applyFont="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41" fontId="5" fillId="2" borderId="0" xfId="0" applyNumberFormat="1" applyFont="1" applyFill="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41" fontId="0" fillId="2" borderId="0" xfId="0" applyNumberFormat="1" applyFill="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11" fillId="0" borderId="0" xfId="0" applyFont="1"/>
    <xf numFmtId="0" fontId="14" fillId="0" borderId="0" xfId="0" applyFont="1"/>
    <xf numFmtId="0" fontId="0" fillId="0" borderId="0" xfId="0"/>
    <xf numFmtId="0" fontId="0" fillId="0" borderId="0" xfId="0" applyAlignment="1">
      <alignment horizontal="center"/>
    </xf>
    <xf numFmtId="0" fontId="3" fillId="0" borderId="0" xfId="0" applyFont="1"/>
    <xf numFmtId="0" fontId="3" fillId="0" borderId="0" xfId="0" applyFont="1" applyAlignment="1">
      <alignment horizontal="center"/>
    </xf>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41" fontId="8" fillId="6" borderId="14" xfId="0" quotePrefix="1" applyNumberFormat="1" applyFont="1" applyFill="1" applyBorder="1" applyAlignment="1">
      <alignment horizontal="center" vertical="center"/>
    </xf>
    <xf numFmtId="14" fontId="0" fillId="0" borderId="0" xfId="0" applyNumberFormat="1"/>
    <xf numFmtId="0" fontId="0" fillId="0" borderId="0" xfId="0" applyAlignment="1">
      <alignment horizontal="left" indent="1"/>
    </xf>
    <xf numFmtId="166" fontId="2" fillId="0" borderId="0" xfId="3" applyNumberFormat="1" applyFont="1"/>
    <xf numFmtId="167" fontId="0" fillId="2" borderId="1" xfId="0" applyNumberFormat="1" applyFill="1" applyBorder="1"/>
    <xf numFmtId="8" fontId="17" fillId="0" borderId="0" xfId="0" applyNumberFormat="1" applyFont="1"/>
    <xf numFmtId="44" fontId="0" fillId="0" borderId="0" xfId="0" applyNumberFormat="1"/>
    <xf numFmtId="6" fontId="0" fillId="0" borderId="0" xfId="0" applyNumberFormat="1"/>
    <xf numFmtId="0" fontId="18" fillId="0" borderId="0" xfId="0" applyFont="1"/>
    <xf numFmtId="0" fontId="3" fillId="2" borderId="14" xfId="0" applyFont="1" applyFill="1" applyBorder="1" applyAlignment="1">
      <alignment horizontal="center"/>
    </xf>
    <xf numFmtId="8" fontId="0" fillId="2" borderId="11" xfId="2" applyNumberFormat="1" applyFont="1" applyFill="1" applyBorder="1"/>
    <xf numFmtId="44" fontId="0" fillId="2" borderId="12" xfId="2" applyFont="1" applyFill="1" applyBorder="1"/>
    <xf numFmtId="41" fontId="7" fillId="0" borderId="8" xfId="0" applyNumberFormat="1" applyFont="1" applyBorder="1" applyAlignment="1">
      <alignment horizontal="center"/>
    </xf>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0%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250411</xdr:colOff>
      <xdr:row>28</xdr:row>
      <xdr:rowOff>24296</xdr:rowOff>
    </xdr:from>
    <xdr:to>
      <xdr:col>11</xdr:col>
      <xdr:colOff>256761</xdr:colOff>
      <xdr:row>34</xdr:row>
      <xdr:rowOff>33131</xdr:rowOff>
    </xdr:to>
    <xdr:sp macro="" textlink="">
      <xdr:nvSpPr>
        <xdr:cNvPr id="2" name="Rounded Rectangle 1"/>
        <xdr:cNvSpPr/>
      </xdr:nvSpPr>
      <xdr:spPr>
        <a:xfrm>
          <a:off x="3000237" y="5250622"/>
          <a:ext cx="4255328" cy="11518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0</xdr:col>
      <xdr:colOff>198783</xdr:colOff>
      <xdr:row>52</xdr:row>
      <xdr:rowOff>140805</xdr:rowOff>
    </xdr:from>
    <xdr:to>
      <xdr:col>10</xdr:col>
      <xdr:colOff>409961</xdr:colOff>
      <xdr:row>59</xdr:row>
      <xdr:rowOff>53837</xdr:rowOff>
    </xdr:to>
    <xdr:pic>
      <xdr:nvPicPr>
        <xdr:cNvPr id="30"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783" y="11032435"/>
          <a:ext cx="718513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215348</xdr:colOff>
      <xdr:row>74</xdr:row>
      <xdr:rowOff>107674</xdr:rowOff>
    </xdr:from>
    <xdr:to>
      <xdr:col>10</xdr:col>
      <xdr:colOff>434423</xdr:colOff>
      <xdr:row>81</xdr:row>
      <xdr:rowOff>12424</xdr:rowOff>
    </xdr:to>
    <xdr:pic>
      <xdr:nvPicPr>
        <xdr:cNvPr id="32" name="Picture 3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5348" y="15132326"/>
          <a:ext cx="7193032"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You</a:t>
          </a:r>
          <a:r>
            <a:rPr lang="en-US" sz="1100" b="1" baseline="0">
              <a:solidFill>
                <a:schemeClr val="dk1"/>
              </a:solidFill>
              <a:latin typeface="+mn-lt"/>
              <a:ea typeface="+mn-ea"/>
              <a:cs typeface="+mn-cs"/>
            </a:rPr>
            <a:t> need forecast the 2012 pro forma income statement and balance sheet for the firm whose 2010 and 2011 income statements and balance sheets are given here. </a:t>
          </a:r>
          <a:r>
            <a:rPr lang="en-US" sz="1100" b="1">
              <a:solidFill>
                <a:schemeClr val="dk1"/>
              </a:solidFill>
              <a:latin typeface="+mn-lt"/>
              <a:ea typeface="+mn-ea"/>
              <a:cs typeface="+mn-cs"/>
            </a:rPr>
            <a:t>Inputs are provided for most items</a:t>
          </a:r>
          <a:r>
            <a:rPr lang="en-US" sz="1100" b="1" baseline="0">
              <a:solidFill>
                <a:schemeClr val="dk1"/>
              </a:solidFill>
              <a:latin typeface="+mn-lt"/>
              <a:ea typeface="+mn-ea"/>
              <a:cs typeface="+mn-cs"/>
            </a:rPr>
            <a:t> in the Inputs section below.</a:t>
          </a:r>
          <a:r>
            <a:rPr lang="en-US" sz="1100" b="1">
              <a:solidFill>
                <a:schemeClr val="dk1"/>
              </a:solidFill>
              <a:latin typeface="+mn-lt"/>
              <a:ea typeface="+mn-ea"/>
              <a:cs typeface="+mn-cs"/>
            </a:rPr>
            <a:t>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The cost of goods sold in 2012 is expected to change with sales by 110% of the two-year arithmetic average of the proportion of this item in relation to sales</a:t>
          </a:r>
          <a:r>
            <a:rPr lang="en-US" sz="1100" b="1" baseline="0">
              <a:solidFill>
                <a:schemeClr val="dk1"/>
              </a:solidFill>
              <a:latin typeface="+mn-lt"/>
              <a:ea typeface="+mn-ea"/>
              <a:cs typeface="+mn-cs"/>
            </a:rPr>
            <a:t> for 2010 and 2011.  </a:t>
          </a:r>
          <a:r>
            <a:rPr lang="en-US" sz="1100" b="1">
              <a:solidFill>
                <a:schemeClr val="dk1"/>
              </a:solidFill>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latin typeface="+mn-lt"/>
              <a:ea typeface="+mn-ea"/>
              <a:cs typeface="+mn-cs"/>
            </a:rPr>
            <a:t> for 2009 and 2010</a:t>
          </a:r>
          <a:r>
            <a:rPr lang="en-US" sz="1100" b="1">
              <a:solidFill>
                <a:schemeClr val="dk1"/>
              </a:solidFill>
              <a:latin typeface="+mn-lt"/>
              <a:ea typeface="+mn-ea"/>
              <a:cs typeface="+mn-cs"/>
            </a:rPr>
            <a:t>.  The firm has planned an investment of $65,000 in new equipment </a:t>
          </a:r>
          <a:r>
            <a:rPr lang="en-US" sz="1100" b="1" baseline="0">
              <a:solidFill>
                <a:schemeClr val="dk1"/>
              </a:solidFill>
              <a:latin typeface="+mn-lt"/>
              <a:ea typeface="+mn-ea"/>
              <a:cs typeface="+mn-cs"/>
            </a:rPr>
            <a:t>in 2012.  This equipment will be depreciated at $12,500 per year. Depreciation on existing Plant/Equipment will be the same as it was in 2011. </a:t>
          </a:r>
          <a:r>
            <a:rPr lang="en-US" sz="1100" b="1">
              <a:solidFill>
                <a:schemeClr val="dk1"/>
              </a:solidFill>
              <a:latin typeface="+mn-lt"/>
              <a:ea typeface="+mn-ea"/>
              <a:cs typeface="+mn-cs"/>
            </a:rPr>
            <a:t>Interest expense</a:t>
          </a:r>
          <a:r>
            <a:rPr lang="en-US" sz="1100" b="1" baseline="0">
              <a:solidFill>
                <a:schemeClr val="dk1"/>
              </a:solidFill>
              <a:latin typeface="+mn-lt"/>
              <a:ea typeface="+mn-ea"/>
              <a:cs typeface="+mn-cs"/>
            </a:rPr>
            <a:t> for 2012 is computed on the 2011 ending balances in Short Term Notes Payable and Long Term Debt. Inputs for those interest rates are provided in the Inputs section.</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Complete the </a:t>
          </a:r>
          <a:r>
            <a:rPr lang="en-US" sz="1100" b="1" baseline="0">
              <a:solidFill>
                <a:schemeClr val="dk1"/>
              </a:solidFill>
              <a:latin typeface="+mn-lt"/>
              <a:ea typeface="+mn-ea"/>
              <a:cs typeface="+mn-cs"/>
            </a:rPr>
            <a:t> pro-forma income statement and balance sheet for 2012 using the information above, the inputs below, and the values that are given in the statements. The 2012 projected statements should accurately adjust for any changes in the inputs.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Compute the excess or deficit of financing for 2012 in the yellow box at the bottom of the Balance Sheet.  This number should be positive if the firm will have more financing than is needed, and it should be negative if the firm has less financing than is needed.</a:t>
          </a: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workbookViewId="0">
      <selection activeCell="J32" sqref="J32"/>
    </sheetView>
  </sheetViews>
  <sheetFormatPr defaultRowHeight="14.4" x14ac:dyDescent="0.3"/>
  <cols>
    <col min="1" max="1" width="2.88671875" customWidth="1"/>
  </cols>
  <sheetData>
    <row r="2" spans="2:3" ht="18.600000000000001" x14ac:dyDescent="0.45">
      <c r="B2" s="98" t="s">
        <v>54</v>
      </c>
      <c r="C2" s="97"/>
    </row>
    <row r="3" spans="2:3" ht="18.600000000000001" x14ac:dyDescent="0.45">
      <c r="B3" s="98" t="s">
        <v>77</v>
      </c>
      <c r="C3" s="97"/>
    </row>
    <row r="4" spans="2:3" ht="18.600000000000001" x14ac:dyDescent="0.45">
      <c r="B4" s="98" t="s">
        <v>63</v>
      </c>
      <c r="C4" s="97"/>
    </row>
    <row r="5" spans="2:3" ht="6" customHeight="1" x14ac:dyDescent="0.45">
      <c r="B5" s="98"/>
      <c r="C5" s="97"/>
    </row>
    <row r="6" spans="2:3" ht="18.600000000000001" x14ac:dyDescent="0.45">
      <c r="B6" s="98" t="s">
        <v>55</v>
      </c>
      <c r="C6" s="97"/>
    </row>
    <row r="7" spans="2:3" ht="18.600000000000001" x14ac:dyDescent="0.45">
      <c r="B7" s="98" t="s">
        <v>56</v>
      </c>
      <c r="C7" s="97"/>
    </row>
    <row r="8" spans="2:3" ht="18.600000000000001" x14ac:dyDescent="0.45">
      <c r="B8" s="98" t="s">
        <v>57</v>
      </c>
      <c r="C8" s="97"/>
    </row>
    <row r="9" spans="2:3" ht="8.4" customHeight="1" x14ac:dyDescent="0.45">
      <c r="B9" s="98"/>
      <c r="C9" s="97"/>
    </row>
    <row r="10" spans="2:3" ht="16.5" customHeight="1" x14ac:dyDescent="0.45">
      <c r="B10" s="98" t="s">
        <v>106</v>
      </c>
      <c r="C10" s="97"/>
    </row>
    <row r="11" spans="2:3" ht="16.5" customHeight="1" x14ac:dyDescent="0.45">
      <c r="B11" s="98" t="s">
        <v>107</v>
      </c>
      <c r="C11" s="97"/>
    </row>
    <row r="12" spans="2:3" ht="16.5" customHeight="1" x14ac:dyDescent="0.45">
      <c r="B12" s="98" t="s">
        <v>129</v>
      </c>
      <c r="C12" s="97"/>
    </row>
    <row r="13" spans="2:3" ht="4.5" customHeight="1" x14ac:dyDescent="0.45">
      <c r="B13" s="98"/>
      <c r="C13" s="97"/>
    </row>
    <row r="14" spans="2:3" ht="15" customHeight="1" x14ac:dyDescent="0.45">
      <c r="B14" s="98" t="s">
        <v>58</v>
      </c>
      <c r="C14" s="97"/>
    </row>
    <row r="15" spans="2:3" ht="16.5" customHeight="1" x14ac:dyDescent="0.45">
      <c r="B15" s="98"/>
      <c r="C15" s="97"/>
    </row>
    <row r="16" spans="2:3" ht="17.399999999999999" customHeight="1" x14ac:dyDescent="0.3">
      <c r="B16" s="116" t="s">
        <v>130</v>
      </c>
      <c r="C16" s="97"/>
    </row>
    <row r="17" spans="2:8" ht="9.6" customHeight="1" x14ac:dyDescent="0.3">
      <c r="B17" s="99"/>
      <c r="C17" s="97"/>
    </row>
    <row r="18" spans="2:8" ht="16.2" customHeight="1" x14ac:dyDescent="0.3">
      <c r="B18" s="116" t="s">
        <v>59</v>
      </c>
      <c r="C18" s="97"/>
    </row>
    <row r="19" spans="2:8" ht="15.6" x14ac:dyDescent="0.3">
      <c r="B19" s="116" t="s">
        <v>131</v>
      </c>
      <c r="C19" s="97"/>
    </row>
    <row r="20" spans="2:8" ht="15.6" x14ac:dyDescent="0.3">
      <c r="B20" s="116" t="s">
        <v>270</v>
      </c>
      <c r="C20" s="97"/>
    </row>
    <row r="21" spans="2:8" x14ac:dyDescent="0.35">
      <c r="B21" s="97"/>
      <c r="C21" s="97"/>
    </row>
    <row r="22" spans="2:8" ht="17.399999999999999" customHeight="1" x14ac:dyDescent="0.35">
      <c r="B22" s="99" t="s">
        <v>108</v>
      </c>
      <c r="C22" s="97"/>
    </row>
    <row r="23" spans="2:8" ht="17.399999999999999" customHeight="1" x14ac:dyDescent="0.35">
      <c r="B23" s="99" t="s">
        <v>109</v>
      </c>
      <c r="C23" s="97"/>
    </row>
    <row r="24" spans="2:8" ht="17.399999999999999" customHeight="1" x14ac:dyDescent="0.3">
      <c r="B24" s="97"/>
      <c r="C24" s="97"/>
    </row>
    <row r="25" spans="2:8" ht="14.4" customHeight="1" x14ac:dyDescent="0.3">
      <c r="B25" s="116" t="s">
        <v>78</v>
      </c>
      <c r="C25" s="116"/>
      <c r="D25" s="116"/>
      <c r="E25" s="116"/>
      <c r="F25" s="116"/>
      <c r="G25" s="116"/>
      <c r="H25" s="116"/>
    </row>
    <row r="26" spans="2:8" ht="15.6" x14ac:dyDescent="0.3">
      <c r="B26" s="116"/>
      <c r="C26" s="116"/>
      <c r="D26" s="116"/>
      <c r="E26" s="116"/>
      <c r="F26" s="116"/>
      <c r="G26" s="116"/>
      <c r="H26" s="116"/>
    </row>
    <row r="27" spans="2:8" ht="19.5" customHeight="1" x14ac:dyDescent="0.3">
      <c r="B27" s="116"/>
      <c r="C27" s="116" t="s">
        <v>79</v>
      </c>
      <c r="D27" s="116"/>
      <c r="E27" s="116"/>
      <c r="F27" s="116"/>
      <c r="G27" s="116"/>
      <c r="H27" s="116"/>
    </row>
    <row r="28" spans="2:8" ht="15.6" x14ac:dyDescent="0.3">
      <c r="B28" s="116"/>
      <c r="C28" s="116" t="s">
        <v>110</v>
      </c>
      <c r="D28" s="116"/>
      <c r="E28" s="116"/>
      <c r="F28" s="116"/>
      <c r="G28" s="116"/>
      <c r="H28" s="116"/>
    </row>
    <row r="29" spans="2:8" ht="15.6" x14ac:dyDescent="0.3">
      <c r="B29" s="116"/>
      <c r="C29" s="116" t="s">
        <v>132</v>
      </c>
      <c r="D29" s="116"/>
      <c r="E29" s="116"/>
      <c r="F29" s="116"/>
      <c r="G29" s="116"/>
      <c r="H29" s="116"/>
    </row>
    <row r="30" spans="2:8" x14ac:dyDescent="0.3">
      <c r="B30" s="97"/>
      <c r="C30" s="97"/>
    </row>
    <row r="31" spans="2:8" x14ac:dyDescent="0.3">
      <c r="B31" s="97"/>
      <c r="C31" s="9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opLeftCell="A10" zoomScale="115" zoomScaleNormal="115" workbookViewId="0">
      <selection activeCell="F25" sqref="F25"/>
    </sheetView>
  </sheetViews>
  <sheetFormatPr defaultRowHeight="14.4" x14ac:dyDescent="0.3"/>
  <cols>
    <col min="1" max="2" width="2.88671875" customWidth="1"/>
    <col min="3" max="6" width="14.6640625" customWidth="1"/>
    <col min="7" max="7" width="16.33203125" customWidth="1"/>
    <col min="8" max="8" width="13.109375" customWidth="1"/>
    <col min="9" max="9" width="8.88671875" customWidth="1"/>
  </cols>
  <sheetData>
    <row r="5" spans="23:23" ht="75" customHeight="1" x14ac:dyDescent="0.35"/>
    <row r="12" spans="23:23" x14ac:dyDescent="0.35">
      <c r="W12">
        <v>1</v>
      </c>
    </row>
    <row r="18" spans="3:19" x14ac:dyDescent="0.3">
      <c r="C18" s="43"/>
    </row>
    <row r="19" spans="3:19" x14ac:dyDescent="0.3">
      <c r="C19" s="43"/>
    </row>
    <row r="20" spans="3:19" x14ac:dyDescent="0.3">
      <c r="C20" s="16" t="s">
        <v>65</v>
      </c>
    </row>
    <row r="21" spans="3:19" ht="15" thickBot="1" x14ac:dyDescent="0.35">
      <c r="C21" s="6" t="s">
        <v>7</v>
      </c>
      <c r="F21" s="2">
        <v>350000</v>
      </c>
      <c r="G21" t="s">
        <v>91</v>
      </c>
      <c r="N21" t="s">
        <v>82</v>
      </c>
      <c r="O21">
        <f>IF(F25="Annual",1,IF(F25="Quarterly",4,12))</f>
        <v>12</v>
      </c>
      <c r="P21">
        <v>1</v>
      </c>
    </row>
    <row r="22" spans="3:19" ht="15" thickBot="1" x14ac:dyDescent="0.35">
      <c r="C22" s="43" t="s">
        <v>85</v>
      </c>
      <c r="F22" s="51">
        <v>3</v>
      </c>
      <c r="G22" t="s">
        <v>94</v>
      </c>
      <c r="H22" s="5">
        <f>D31*Term*Periods+F24-F21</f>
        <v>34738.073941989278</v>
      </c>
      <c r="N22" t="s">
        <v>83</v>
      </c>
      <c r="P22">
        <v>2</v>
      </c>
    </row>
    <row r="23" spans="3:19" x14ac:dyDescent="0.3">
      <c r="C23" s="6" t="s">
        <v>8</v>
      </c>
      <c r="F23" s="3">
        <v>0.05</v>
      </c>
      <c r="N23" t="s">
        <v>84</v>
      </c>
      <c r="P23">
        <v>3</v>
      </c>
    </row>
    <row r="24" spans="3:19" ht="15" thickBot="1" x14ac:dyDescent="0.35">
      <c r="C24" s="6" t="s">
        <v>9</v>
      </c>
      <c r="F24" s="2">
        <v>100000</v>
      </c>
      <c r="G24" t="s">
        <v>92</v>
      </c>
      <c r="P24">
        <v>4</v>
      </c>
    </row>
    <row r="25" spans="3:19" ht="15" thickBot="1" x14ac:dyDescent="0.35">
      <c r="C25" s="43" t="s">
        <v>64</v>
      </c>
      <c r="F25" t="s">
        <v>84</v>
      </c>
      <c r="G25" t="s">
        <v>93</v>
      </c>
      <c r="H25" s="56">
        <f>EFFECT(Rate,Periods)</f>
        <v>5.116189788173342E-2</v>
      </c>
      <c r="P25">
        <v>5</v>
      </c>
    </row>
    <row r="26" spans="3:19" ht="3.9" customHeight="1" thickBot="1" x14ac:dyDescent="0.35">
      <c r="C26" s="44"/>
      <c r="D26" s="8"/>
      <c r="E26" s="8"/>
      <c r="F26" s="8"/>
      <c r="G26" s="8"/>
      <c r="H26" s="8"/>
      <c r="I26" s="8"/>
      <c r="J26" s="8"/>
      <c r="K26" s="8"/>
      <c r="L26" s="8"/>
      <c r="M26" s="8"/>
      <c r="N26" s="15"/>
      <c r="O26" s="15"/>
      <c r="P26" s="15"/>
      <c r="Q26" s="15"/>
      <c r="R26" s="15"/>
      <c r="S26" s="15"/>
    </row>
    <row r="27" spans="3:19" ht="6" customHeight="1" x14ac:dyDescent="0.3"/>
    <row r="28" spans="3:19" ht="6" customHeight="1" thickBot="1" x14ac:dyDescent="0.35"/>
    <row r="29" spans="3:19" ht="29.4" thickBot="1" x14ac:dyDescent="0.35">
      <c r="C29" s="9" t="s">
        <v>10</v>
      </c>
      <c r="D29" s="10" t="s">
        <v>3</v>
      </c>
      <c r="E29" s="10" t="s">
        <v>11</v>
      </c>
      <c r="F29" s="10" t="s">
        <v>12</v>
      </c>
      <c r="G29" s="11" t="s">
        <v>13</v>
      </c>
    </row>
    <row r="30" spans="3:19" x14ac:dyDescent="0.3">
      <c r="C30" s="12">
        <v>0</v>
      </c>
      <c r="D30" s="13"/>
      <c r="E30" s="13"/>
      <c r="F30" s="13"/>
      <c r="G30" s="52">
        <f>F21</f>
        <v>350000</v>
      </c>
    </row>
    <row r="31" spans="3:19" x14ac:dyDescent="0.3">
      <c r="C31" s="12">
        <v>1</v>
      </c>
      <c r="D31" s="14">
        <f>PMT(Rate/Periods,Term*Periods,-F21,F24)</f>
        <v>7909.3909428330362</v>
      </c>
      <c r="E31" s="13">
        <f t="shared" ref="E31:E62" si="0">IF(C31&gt;Term*Periods,"",G30*Rate/Periods)</f>
        <v>1458.3333333333333</v>
      </c>
      <c r="F31" s="14">
        <f t="shared" ref="F31:F62" si="1">IF(C31&gt;Term*Periods,"",D31-E31)</f>
        <v>6451.0576094997032</v>
      </c>
      <c r="G31" s="13">
        <f t="shared" ref="G31:G62" si="2">IF(C31&gt;Term*Periods,"",G30-F31)</f>
        <v>343548.94239050028</v>
      </c>
      <c r="K31" t="s">
        <v>14</v>
      </c>
    </row>
    <row r="32" spans="3:19" x14ac:dyDescent="0.3">
      <c r="C32" s="12">
        <v>2</v>
      </c>
      <c r="D32" s="14">
        <f t="shared" ref="D32:D63" si="3">IF(C32&gt;Term*Periods,"",IF(C32=Term*Periods,$D$31+$F$24,$D$31))</f>
        <v>7909.3909428330362</v>
      </c>
      <c r="E32" s="13">
        <f t="shared" si="0"/>
        <v>1431.4539266270847</v>
      </c>
      <c r="F32" s="14">
        <f t="shared" si="1"/>
        <v>6477.9370162059513</v>
      </c>
      <c r="G32" s="13">
        <f t="shared" si="2"/>
        <v>337071.0053742943</v>
      </c>
    </row>
    <row r="33" spans="3:7" x14ac:dyDescent="0.3">
      <c r="C33" s="12">
        <v>3</v>
      </c>
      <c r="D33" s="14">
        <f t="shared" si="3"/>
        <v>7909.3909428330362</v>
      </c>
      <c r="E33" s="13">
        <f t="shared" si="0"/>
        <v>1404.4625223928931</v>
      </c>
      <c r="F33" s="14">
        <f t="shared" si="1"/>
        <v>6504.9284204401429</v>
      </c>
      <c r="G33" s="13">
        <f t="shared" si="2"/>
        <v>330566.07695385418</v>
      </c>
    </row>
    <row r="34" spans="3:7" x14ac:dyDescent="0.3">
      <c r="C34" s="12">
        <v>4</v>
      </c>
      <c r="D34" s="14">
        <f t="shared" si="3"/>
        <v>7909.3909428330362</v>
      </c>
      <c r="E34" s="13">
        <f t="shared" si="0"/>
        <v>1377.3586539743926</v>
      </c>
      <c r="F34" s="14">
        <f t="shared" si="1"/>
        <v>6532.0322888586434</v>
      </c>
      <c r="G34" s="13">
        <f t="shared" si="2"/>
        <v>324034.04466499551</v>
      </c>
    </row>
    <row r="35" spans="3:7" x14ac:dyDescent="0.3">
      <c r="C35" s="12">
        <v>5</v>
      </c>
      <c r="D35" s="14">
        <f t="shared" si="3"/>
        <v>7909.3909428330362</v>
      </c>
      <c r="E35" s="13">
        <f t="shared" si="0"/>
        <v>1350.1418527708147</v>
      </c>
      <c r="F35" s="14">
        <f t="shared" si="1"/>
        <v>6559.2490900622215</v>
      </c>
      <c r="G35" s="13">
        <f t="shared" si="2"/>
        <v>317474.79557493329</v>
      </c>
    </row>
    <row r="36" spans="3:7" x14ac:dyDescent="0.3">
      <c r="C36" s="12">
        <v>6</v>
      </c>
      <c r="D36" s="14">
        <f t="shared" si="3"/>
        <v>7909.3909428330362</v>
      </c>
      <c r="E36" s="13">
        <f t="shared" si="0"/>
        <v>1322.8116482288888</v>
      </c>
      <c r="F36" s="14">
        <f t="shared" si="1"/>
        <v>6586.5792946041474</v>
      </c>
      <c r="G36" s="13">
        <f t="shared" si="2"/>
        <v>310888.21628032916</v>
      </c>
    </row>
    <row r="37" spans="3:7" x14ac:dyDescent="0.3">
      <c r="C37" s="12">
        <v>7</v>
      </c>
      <c r="D37" s="14">
        <f t="shared" si="3"/>
        <v>7909.3909428330362</v>
      </c>
      <c r="E37" s="13">
        <f t="shared" si="0"/>
        <v>1295.3675678347049</v>
      </c>
      <c r="F37" s="14">
        <f t="shared" si="1"/>
        <v>6614.0233749983308</v>
      </c>
      <c r="G37" s="13">
        <f t="shared" si="2"/>
        <v>304274.1929053308</v>
      </c>
    </row>
    <row r="38" spans="3:7" x14ac:dyDescent="0.3">
      <c r="C38" s="12">
        <v>8</v>
      </c>
      <c r="D38" s="14">
        <f t="shared" si="3"/>
        <v>7909.3909428330362</v>
      </c>
      <c r="E38" s="13">
        <f t="shared" si="0"/>
        <v>1267.809137105545</v>
      </c>
      <c r="F38" s="14">
        <f t="shared" si="1"/>
        <v>6641.581805727491</v>
      </c>
      <c r="G38" s="13">
        <f t="shared" si="2"/>
        <v>297632.61109960329</v>
      </c>
    </row>
    <row r="39" spans="3:7" x14ac:dyDescent="0.3">
      <c r="C39" s="12">
        <v>9</v>
      </c>
      <c r="D39" s="14">
        <f t="shared" si="3"/>
        <v>7909.3909428330362</v>
      </c>
      <c r="E39" s="13">
        <f t="shared" si="0"/>
        <v>1240.1358795816805</v>
      </c>
      <c r="F39" s="14">
        <f t="shared" si="1"/>
        <v>6669.2550632513558</v>
      </c>
      <c r="G39" s="13">
        <f t="shared" si="2"/>
        <v>290963.35603635194</v>
      </c>
    </row>
    <row r="40" spans="3:7" x14ac:dyDescent="0.3">
      <c r="C40" s="12">
        <v>10</v>
      </c>
      <c r="D40" s="14">
        <f t="shared" si="3"/>
        <v>7909.3909428330362</v>
      </c>
      <c r="E40" s="13">
        <f t="shared" si="0"/>
        <v>1212.3473168181331</v>
      </c>
      <c r="F40" s="14">
        <f t="shared" si="1"/>
        <v>6697.0436260149036</v>
      </c>
      <c r="G40" s="13">
        <f t="shared" si="2"/>
        <v>284266.31241033704</v>
      </c>
    </row>
    <row r="41" spans="3:7" x14ac:dyDescent="0.3">
      <c r="C41" s="12">
        <v>11</v>
      </c>
      <c r="D41" s="14">
        <f t="shared" si="3"/>
        <v>7909.3909428330362</v>
      </c>
      <c r="E41" s="13">
        <f t="shared" si="0"/>
        <v>1184.4429683764045</v>
      </c>
      <c r="F41" s="14">
        <f t="shared" si="1"/>
        <v>6724.9479744566315</v>
      </c>
      <c r="G41" s="13">
        <f t="shared" si="2"/>
        <v>277541.36443588039</v>
      </c>
    </row>
    <row r="42" spans="3:7" x14ac:dyDescent="0.3">
      <c r="C42" s="12">
        <v>12</v>
      </c>
      <c r="D42" s="14">
        <f t="shared" si="3"/>
        <v>7909.3909428330362</v>
      </c>
      <c r="E42" s="13">
        <f t="shared" si="0"/>
        <v>1156.4223518161682</v>
      </c>
      <c r="F42" s="14">
        <f t="shared" si="1"/>
        <v>6752.9685910168682</v>
      </c>
      <c r="G42" s="13">
        <f t="shared" si="2"/>
        <v>270788.39584486349</v>
      </c>
    </row>
    <row r="43" spans="3:7" x14ac:dyDescent="0.3">
      <c r="C43" s="12">
        <v>13</v>
      </c>
      <c r="D43" s="14">
        <f t="shared" si="3"/>
        <v>7909.3909428330362</v>
      </c>
      <c r="E43" s="13">
        <f t="shared" si="0"/>
        <v>1128.2849826869312</v>
      </c>
      <c r="F43" s="14">
        <f t="shared" si="1"/>
        <v>6781.1059601461047</v>
      </c>
      <c r="G43" s="13">
        <f t="shared" si="2"/>
        <v>264007.28988471738</v>
      </c>
    </row>
    <row r="44" spans="3:7" x14ac:dyDescent="0.3">
      <c r="C44" s="12">
        <v>14</v>
      </c>
      <c r="D44" s="14">
        <f t="shared" si="3"/>
        <v>7909.3909428330362</v>
      </c>
      <c r="E44" s="13">
        <f t="shared" si="0"/>
        <v>1100.0303745196559</v>
      </c>
      <c r="F44" s="14">
        <f t="shared" si="1"/>
        <v>6809.3605683133801</v>
      </c>
      <c r="G44" s="13">
        <f t="shared" si="2"/>
        <v>257197.92931640398</v>
      </c>
    </row>
    <row r="45" spans="3:7" x14ac:dyDescent="0.3">
      <c r="C45" s="12">
        <v>15</v>
      </c>
      <c r="D45" s="14">
        <f t="shared" si="3"/>
        <v>7909.3909428330362</v>
      </c>
      <c r="E45" s="13">
        <f t="shared" si="0"/>
        <v>1071.65803881835</v>
      </c>
      <c r="F45" s="14">
        <f t="shared" si="1"/>
        <v>6837.732904014686</v>
      </c>
      <c r="G45" s="13">
        <f t="shared" si="2"/>
        <v>250360.19641238931</v>
      </c>
    </row>
    <row r="46" spans="3:7" x14ac:dyDescent="0.3">
      <c r="C46" s="12">
        <v>16</v>
      </c>
      <c r="D46" s="14">
        <f t="shared" si="3"/>
        <v>7909.3909428330362</v>
      </c>
      <c r="E46" s="13">
        <f t="shared" si="0"/>
        <v>1043.1674850516222</v>
      </c>
      <c r="F46" s="14">
        <f t="shared" si="1"/>
        <v>6866.2234577814143</v>
      </c>
      <c r="G46" s="13">
        <f t="shared" si="2"/>
        <v>243493.97295460789</v>
      </c>
    </row>
    <row r="47" spans="3:7" x14ac:dyDescent="0.3">
      <c r="C47" s="12">
        <v>17</v>
      </c>
      <c r="D47" s="14">
        <f t="shared" si="3"/>
        <v>7909.3909428330362</v>
      </c>
      <c r="E47" s="13">
        <f t="shared" si="0"/>
        <v>1014.5582206441995</v>
      </c>
      <c r="F47" s="14">
        <f t="shared" si="1"/>
        <v>6894.8327221888367</v>
      </c>
      <c r="G47" s="13">
        <f t="shared" si="2"/>
        <v>236599.14023241904</v>
      </c>
    </row>
    <row r="48" spans="3:7" x14ac:dyDescent="0.3">
      <c r="C48" s="12">
        <v>18</v>
      </c>
      <c r="D48" s="14">
        <f t="shared" si="3"/>
        <v>7909.3909428330362</v>
      </c>
      <c r="E48" s="13">
        <f t="shared" si="0"/>
        <v>985.82975096841267</v>
      </c>
      <c r="F48" s="14">
        <f t="shared" si="1"/>
        <v>6923.5611918646237</v>
      </c>
      <c r="G48" s="13">
        <f t="shared" si="2"/>
        <v>229675.57904055441</v>
      </c>
    </row>
    <row r="49" spans="3:7" x14ac:dyDescent="0.3">
      <c r="C49" s="12">
        <v>19</v>
      </c>
      <c r="D49" s="14">
        <f t="shared" si="3"/>
        <v>7909.3909428330362</v>
      </c>
      <c r="E49" s="13">
        <f t="shared" si="0"/>
        <v>956.98157933564346</v>
      </c>
      <c r="F49" s="14">
        <f t="shared" si="1"/>
        <v>6952.4093634973924</v>
      </c>
      <c r="G49" s="13">
        <f t="shared" si="2"/>
        <v>222723.16967705701</v>
      </c>
    </row>
    <row r="50" spans="3:7" x14ac:dyDescent="0.3">
      <c r="C50" s="12">
        <v>20</v>
      </c>
      <c r="D50" s="14">
        <f t="shared" si="3"/>
        <v>7909.3909428330362</v>
      </c>
      <c r="E50" s="13">
        <f t="shared" si="0"/>
        <v>928.01320698773759</v>
      </c>
      <c r="F50" s="14">
        <f t="shared" si="1"/>
        <v>6981.377735845299</v>
      </c>
      <c r="G50" s="13">
        <f t="shared" si="2"/>
        <v>215741.7919412117</v>
      </c>
    </row>
    <row r="51" spans="3:7" x14ac:dyDescent="0.3">
      <c r="C51" s="12">
        <v>21</v>
      </c>
      <c r="D51" s="14">
        <f t="shared" si="3"/>
        <v>7909.3909428330362</v>
      </c>
      <c r="E51" s="13">
        <f t="shared" si="0"/>
        <v>898.92413308838206</v>
      </c>
      <c r="F51" s="14">
        <f t="shared" si="1"/>
        <v>7010.4668097446538</v>
      </c>
      <c r="G51" s="13">
        <f t="shared" si="2"/>
        <v>208731.32513146705</v>
      </c>
    </row>
    <row r="52" spans="3:7" x14ac:dyDescent="0.3">
      <c r="C52" s="12">
        <v>22</v>
      </c>
      <c r="D52" s="14">
        <f t="shared" si="3"/>
        <v>7909.3909428330362</v>
      </c>
      <c r="E52" s="13">
        <f t="shared" si="0"/>
        <v>869.71385471444603</v>
      </c>
      <c r="F52" s="14">
        <f t="shared" si="1"/>
        <v>7039.6770881185903</v>
      </c>
      <c r="G52" s="13">
        <f t="shared" si="2"/>
        <v>201691.64804334845</v>
      </c>
    </row>
    <row r="53" spans="3:7" x14ac:dyDescent="0.3">
      <c r="C53" s="12">
        <v>23</v>
      </c>
      <c r="D53" s="14">
        <f t="shared" si="3"/>
        <v>7909.3909428330362</v>
      </c>
      <c r="E53" s="13">
        <f t="shared" si="0"/>
        <v>840.38186684728532</v>
      </c>
      <c r="F53" s="14">
        <f t="shared" si="1"/>
        <v>7069.0090759857512</v>
      </c>
      <c r="G53" s="13">
        <f t="shared" si="2"/>
        <v>194622.6389673627</v>
      </c>
    </row>
    <row r="54" spans="3:7" x14ac:dyDescent="0.3">
      <c r="C54" s="12">
        <v>24</v>
      </c>
      <c r="D54" s="14">
        <f t="shared" si="3"/>
        <v>7909.3909428330362</v>
      </c>
      <c r="E54" s="13">
        <f t="shared" si="0"/>
        <v>810.92766236401121</v>
      </c>
      <c r="F54" s="14">
        <f t="shared" si="1"/>
        <v>7098.4632804690245</v>
      </c>
      <c r="G54" s="13">
        <f t="shared" si="2"/>
        <v>187524.17568689366</v>
      </c>
    </row>
    <row r="55" spans="3:7" x14ac:dyDescent="0.3">
      <c r="C55" s="12">
        <v>25</v>
      </c>
      <c r="D55" s="14">
        <f t="shared" si="3"/>
        <v>7909.3909428330362</v>
      </c>
      <c r="E55" s="13">
        <f t="shared" si="0"/>
        <v>781.35073202872366</v>
      </c>
      <c r="F55" s="14">
        <f t="shared" si="1"/>
        <v>7128.0402108043127</v>
      </c>
      <c r="G55" s="13">
        <f t="shared" si="2"/>
        <v>180396.13547608934</v>
      </c>
    </row>
    <row r="56" spans="3:7" x14ac:dyDescent="0.3">
      <c r="C56" s="12">
        <v>26</v>
      </c>
      <c r="D56" s="14">
        <f t="shared" si="3"/>
        <v>7909.3909428330362</v>
      </c>
      <c r="E56" s="13">
        <f t="shared" si="0"/>
        <v>751.65056448370569</v>
      </c>
      <c r="F56" s="14">
        <f t="shared" si="1"/>
        <v>7157.7403783493301</v>
      </c>
      <c r="G56" s="13">
        <f t="shared" si="2"/>
        <v>173238.39509774002</v>
      </c>
    </row>
    <row r="57" spans="3:7" x14ac:dyDescent="0.3">
      <c r="C57" s="12">
        <v>27</v>
      </c>
      <c r="D57" s="14">
        <f t="shared" si="3"/>
        <v>7909.3909428330362</v>
      </c>
      <c r="E57" s="13">
        <f t="shared" si="0"/>
        <v>721.8266462405835</v>
      </c>
      <c r="F57" s="14">
        <f t="shared" si="1"/>
        <v>7187.5642965924526</v>
      </c>
      <c r="G57" s="13">
        <f t="shared" si="2"/>
        <v>166050.83080114756</v>
      </c>
    </row>
    <row r="58" spans="3:7" x14ac:dyDescent="0.3">
      <c r="C58" s="12">
        <v>28</v>
      </c>
      <c r="D58" s="14">
        <f t="shared" si="3"/>
        <v>7909.3909428330362</v>
      </c>
      <c r="E58" s="13">
        <f t="shared" si="0"/>
        <v>691.87846167144824</v>
      </c>
      <c r="F58" s="14">
        <f t="shared" si="1"/>
        <v>7217.5124811615879</v>
      </c>
      <c r="G58" s="13">
        <f t="shared" si="2"/>
        <v>158833.31831998596</v>
      </c>
    </row>
    <row r="59" spans="3:7" x14ac:dyDescent="0.3">
      <c r="C59" s="12">
        <v>29</v>
      </c>
      <c r="D59" s="14">
        <f t="shared" si="3"/>
        <v>7909.3909428330362</v>
      </c>
      <c r="E59" s="13">
        <f t="shared" si="0"/>
        <v>661.80549299994152</v>
      </c>
      <c r="F59" s="14">
        <f t="shared" si="1"/>
        <v>7247.5854498330946</v>
      </c>
      <c r="G59" s="13">
        <f t="shared" si="2"/>
        <v>151585.73287015286</v>
      </c>
    </row>
    <row r="60" spans="3:7" x14ac:dyDescent="0.3">
      <c r="C60" s="12">
        <v>30</v>
      </c>
      <c r="D60" s="14">
        <f t="shared" si="3"/>
        <v>7909.3909428330362</v>
      </c>
      <c r="E60" s="13">
        <f t="shared" si="0"/>
        <v>631.60722029230362</v>
      </c>
      <c r="F60" s="14">
        <f t="shared" si="1"/>
        <v>7277.7837225407329</v>
      </c>
      <c r="G60" s="13">
        <f t="shared" si="2"/>
        <v>144307.94914761212</v>
      </c>
    </row>
    <row r="61" spans="3:7" x14ac:dyDescent="0.3">
      <c r="C61" s="12">
        <v>31</v>
      </c>
      <c r="D61" s="14">
        <f t="shared" si="3"/>
        <v>7909.3909428330362</v>
      </c>
      <c r="E61" s="13">
        <f t="shared" si="0"/>
        <v>601.28312144838389</v>
      </c>
      <c r="F61" s="14">
        <f t="shared" si="1"/>
        <v>7308.1078213846522</v>
      </c>
      <c r="G61" s="13">
        <f t="shared" si="2"/>
        <v>136999.84132622747</v>
      </c>
    </row>
    <row r="62" spans="3:7" x14ac:dyDescent="0.3">
      <c r="C62" s="12">
        <v>32</v>
      </c>
      <c r="D62" s="14">
        <f t="shared" si="3"/>
        <v>7909.3909428330362</v>
      </c>
      <c r="E62" s="13">
        <f t="shared" si="0"/>
        <v>570.8326721926145</v>
      </c>
      <c r="F62" s="14">
        <f t="shared" si="1"/>
        <v>7338.5582706404221</v>
      </c>
      <c r="G62" s="13">
        <f t="shared" si="2"/>
        <v>129661.28305558705</v>
      </c>
    </row>
    <row r="63" spans="3:7" x14ac:dyDescent="0.3">
      <c r="C63" s="12">
        <v>33</v>
      </c>
      <c r="D63" s="14">
        <f t="shared" si="3"/>
        <v>7909.3909428330362</v>
      </c>
      <c r="E63" s="13">
        <f t="shared" ref="E63:E90" si="4">IF(C63&gt;Term*Periods,"",G62*Rate/Periods)</f>
        <v>540.25534606494602</v>
      </c>
      <c r="F63" s="14">
        <f t="shared" ref="F63:F90" si="5">IF(C63&gt;Term*Periods,"",D63-E63)</f>
        <v>7369.1355967680902</v>
      </c>
      <c r="G63" s="13">
        <f t="shared" ref="G63:G90" si="6">IF(C63&gt;Term*Periods,"",G62-F63)</f>
        <v>122292.14745881896</v>
      </c>
    </row>
    <row r="64" spans="3:7" x14ac:dyDescent="0.3">
      <c r="C64" s="12">
        <v>34</v>
      </c>
      <c r="D64" s="14">
        <f t="shared" ref="D64:D90" si="7">IF(C64&gt;Term*Periods,"",IF(C64=Term*Periods,$D$31+$F$24,$D$31))</f>
        <v>7909.3909428330362</v>
      </c>
      <c r="E64" s="13">
        <f t="shared" si="4"/>
        <v>509.5506144117457</v>
      </c>
      <c r="F64" s="14">
        <f t="shared" si="5"/>
        <v>7399.8403284212909</v>
      </c>
      <c r="G64" s="13">
        <f t="shared" si="6"/>
        <v>114892.30713039768</v>
      </c>
    </row>
    <row r="65" spans="3:7" x14ac:dyDescent="0.3">
      <c r="C65" s="12">
        <v>35</v>
      </c>
      <c r="D65" s="14">
        <f t="shared" si="7"/>
        <v>7909.3909428330362</v>
      </c>
      <c r="E65" s="13">
        <f t="shared" si="4"/>
        <v>478.71794637665698</v>
      </c>
      <c r="F65" s="14">
        <f t="shared" si="5"/>
        <v>7430.6729964563792</v>
      </c>
      <c r="G65" s="13">
        <f t="shared" si="6"/>
        <v>107461.63413394129</v>
      </c>
    </row>
    <row r="66" spans="3:7" x14ac:dyDescent="0.3">
      <c r="C66" s="12">
        <v>36</v>
      </c>
      <c r="D66" s="14">
        <f t="shared" si="7"/>
        <v>107909.39094283304</v>
      </c>
      <c r="E66" s="13">
        <f t="shared" si="4"/>
        <v>447.75680889142205</v>
      </c>
      <c r="F66" s="14">
        <f t="shared" si="5"/>
        <v>107461.63413394161</v>
      </c>
      <c r="G66" s="13">
        <f t="shared" si="6"/>
        <v>-3.2014213502407074E-10</v>
      </c>
    </row>
    <row r="67" spans="3:7" x14ac:dyDescent="0.3">
      <c r="C67" s="12">
        <v>37</v>
      </c>
      <c r="D67" s="14" t="str">
        <f t="shared" si="7"/>
        <v/>
      </c>
      <c r="E67" s="13" t="str">
        <f t="shared" si="4"/>
        <v/>
      </c>
      <c r="F67" s="14" t="str">
        <f t="shared" si="5"/>
        <v/>
      </c>
      <c r="G67" s="13" t="str">
        <f t="shared" si="6"/>
        <v/>
      </c>
    </row>
    <row r="68" spans="3:7" x14ac:dyDescent="0.3">
      <c r="C68" s="12">
        <v>38</v>
      </c>
      <c r="D68" s="14" t="str">
        <f t="shared" si="7"/>
        <v/>
      </c>
      <c r="E68" s="13" t="str">
        <f t="shared" si="4"/>
        <v/>
      </c>
      <c r="F68" s="14" t="str">
        <f t="shared" si="5"/>
        <v/>
      </c>
      <c r="G68" s="13" t="str">
        <f t="shared" si="6"/>
        <v/>
      </c>
    </row>
    <row r="69" spans="3:7" x14ac:dyDescent="0.3">
      <c r="C69" s="12">
        <v>39</v>
      </c>
      <c r="D69" s="14" t="str">
        <f t="shared" si="7"/>
        <v/>
      </c>
      <c r="E69" s="13" t="str">
        <f t="shared" si="4"/>
        <v/>
      </c>
      <c r="F69" s="14" t="str">
        <f t="shared" si="5"/>
        <v/>
      </c>
      <c r="G69" s="13" t="str">
        <f t="shared" si="6"/>
        <v/>
      </c>
    </row>
    <row r="70" spans="3:7" x14ac:dyDescent="0.3">
      <c r="C70" s="12">
        <v>40</v>
      </c>
      <c r="D70" s="14" t="str">
        <f t="shared" si="7"/>
        <v/>
      </c>
      <c r="E70" s="13" t="str">
        <f t="shared" si="4"/>
        <v/>
      </c>
      <c r="F70" s="14" t="str">
        <f t="shared" si="5"/>
        <v/>
      </c>
      <c r="G70" s="13" t="str">
        <f t="shared" si="6"/>
        <v/>
      </c>
    </row>
    <row r="71" spans="3:7" x14ac:dyDescent="0.3">
      <c r="C71" s="12">
        <v>41</v>
      </c>
      <c r="D71" s="14" t="str">
        <f t="shared" si="7"/>
        <v/>
      </c>
      <c r="E71" s="13" t="str">
        <f t="shared" si="4"/>
        <v/>
      </c>
      <c r="F71" s="14" t="str">
        <f t="shared" si="5"/>
        <v/>
      </c>
      <c r="G71" s="13" t="str">
        <f t="shared" si="6"/>
        <v/>
      </c>
    </row>
    <row r="72" spans="3:7" x14ac:dyDescent="0.3">
      <c r="C72" s="12">
        <v>42</v>
      </c>
      <c r="D72" s="14" t="str">
        <f t="shared" si="7"/>
        <v/>
      </c>
      <c r="E72" s="13" t="str">
        <f t="shared" si="4"/>
        <v/>
      </c>
      <c r="F72" s="14" t="str">
        <f t="shared" si="5"/>
        <v/>
      </c>
      <c r="G72" s="13" t="str">
        <f t="shared" si="6"/>
        <v/>
      </c>
    </row>
    <row r="73" spans="3:7" x14ac:dyDescent="0.3">
      <c r="C73" s="12">
        <v>43</v>
      </c>
      <c r="D73" s="14" t="str">
        <f t="shared" si="7"/>
        <v/>
      </c>
      <c r="E73" s="13" t="str">
        <f t="shared" si="4"/>
        <v/>
      </c>
      <c r="F73" s="14" t="str">
        <f t="shared" si="5"/>
        <v/>
      </c>
      <c r="G73" s="13" t="str">
        <f t="shared" si="6"/>
        <v/>
      </c>
    </row>
    <row r="74" spans="3:7" x14ac:dyDescent="0.3">
      <c r="C74" s="12">
        <v>44</v>
      </c>
      <c r="D74" s="14" t="str">
        <f t="shared" si="7"/>
        <v/>
      </c>
      <c r="E74" s="13" t="str">
        <f t="shared" si="4"/>
        <v/>
      </c>
      <c r="F74" s="14" t="str">
        <f t="shared" si="5"/>
        <v/>
      </c>
      <c r="G74" s="13" t="str">
        <f t="shared" si="6"/>
        <v/>
      </c>
    </row>
    <row r="75" spans="3:7" x14ac:dyDescent="0.3">
      <c r="C75" s="12">
        <v>45</v>
      </c>
      <c r="D75" s="14" t="str">
        <f t="shared" si="7"/>
        <v/>
      </c>
      <c r="E75" s="13" t="str">
        <f t="shared" si="4"/>
        <v/>
      </c>
      <c r="F75" s="14" t="str">
        <f t="shared" si="5"/>
        <v/>
      </c>
      <c r="G75" s="13" t="str">
        <f t="shared" si="6"/>
        <v/>
      </c>
    </row>
    <row r="76" spans="3:7" x14ac:dyDescent="0.3">
      <c r="C76" s="12">
        <v>46</v>
      </c>
      <c r="D76" s="14" t="str">
        <f t="shared" si="7"/>
        <v/>
      </c>
      <c r="E76" s="13" t="str">
        <f t="shared" si="4"/>
        <v/>
      </c>
      <c r="F76" s="14" t="str">
        <f t="shared" si="5"/>
        <v/>
      </c>
      <c r="G76" s="13" t="str">
        <f t="shared" si="6"/>
        <v/>
      </c>
    </row>
    <row r="77" spans="3:7" x14ac:dyDescent="0.3">
      <c r="C77" s="12">
        <v>47</v>
      </c>
      <c r="D77" s="14" t="str">
        <f t="shared" si="7"/>
        <v/>
      </c>
      <c r="E77" s="13" t="str">
        <f t="shared" si="4"/>
        <v/>
      </c>
      <c r="F77" s="14" t="str">
        <f t="shared" si="5"/>
        <v/>
      </c>
      <c r="G77" s="13" t="str">
        <f t="shared" si="6"/>
        <v/>
      </c>
    </row>
    <row r="78" spans="3:7" x14ac:dyDescent="0.3">
      <c r="C78" s="12">
        <v>48</v>
      </c>
      <c r="D78" s="14" t="str">
        <f t="shared" si="7"/>
        <v/>
      </c>
      <c r="E78" s="13" t="str">
        <f t="shared" si="4"/>
        <v/>
      </c>
      <c r="F78" s="14" t="str">
        <f t="shared" si="5"/>
        <v/>
      </c>
      <c r="G78" s="13" t="str">
        <f t="shared" si="6"/>
        <v/>
      </c>
    </row>
    <row r="79" spans="3:7" x14ac:dyDescent="0.3">
      <c r="C79" s="12">
        <v>49</v>
      </c>
      <c r="D79" s="14" t="str">
        <f t="shared" si="7"/>
        <v/>
      </c>
      <c r="E79" s="13" t="str">
        <f t="shared" si="4"/>
        <v/>
      </c>
      <c r="F79" s="14" t="str">
        <f t="shared" si="5"/>
        <v/>
      </c>
      <c r="G79" s="13" t="str">
        <f t="shared" si="6"/>
        <v/>
      </c>
    </row>
    <row r="80" spans="3:7" x14ac:dyDescent="0.3">
      <c r="C80" s="12">
        <v>50</v>
      </c>
      <c r="D80" s="14" t="str">
        <f t="shared" si="7"/>
        <v/>
      </c>
      <c r="E80" s="13" t="str">
        <f t="shared" si="4"/>
        <v/>
      </c>
      <c r="F80" s="14" t="str">
        <f t="shared" si="5"/>
        <v/>
      </c>
      <c r="G80" s="13" t="str">
        <f t="shared" si="6"/>
        <v/>
      </c>
    </row>
    <row r="81" spans="3:7" x14ac:dyDescent="0.3">
      <c r="C81" s="12">
        <v>51</v>
      </c>
      <c r="D81" s="14" t="str">
        <f t="shared" si="7"/>
        <v/>
      </c>
      <c r="E81" s="13" t="str">
        <f t="shared" si="4"/>
        <v/>
      </c>
      <c r="F81" s="14" t="str">
        <f t="shared" si="5"/>
        <v/>
      </c>
      <c r="G81" s="13" t="str">
        <f t="shared" si="6"/>
        <v/>
      </c>
    </row>
    <row r="82" spans="3:7" x14ac:dyDescent="0.3">
      <c r="C82" s="12">
        <v>52</v>
      </c>
      <c r="D82" s="14" t="str">
        <f t="shared" si="7"/>
        <v/>
      </c>
      <c r="E82" s="13" t="str">
        <f t="shared" si="4"/>
        <v/>
      </c>
      <c r="F82" s="14" t="str">
        <f t="shared" si="5"/>
        <v/>
      </c>
      <c r="G82" s="13" t="str">
        <f t="shared" si="6"/>
        <v/>
      </c>
    </row>
    <row r="83" spans="3:7" x14ac:dyDescent="0.3">
      <c r="C83" s="12">
        <v>53</v>
      </c>
      <c r="D83" s="14" t="str">
        <f t="shared" si="7"/>
        <v/>
      </c>
      <c r="E83" s="13" t="str">
        <f t="shared" si="4"/>
        <v/>
      </c>
      <c r="F83" s="14" t="str">
        <f t="shared" si="5"/>
        <v/>
      </c>
      <c r="G83" s="13" t="str">
        <f t="shared" si="6"/>
        <v/>
      </c>
    </row>
    <row r="84" spans="3:7" x14ac:dyDescent="0.3">
      <c r="C84" s="12">
        <v>54</v>
      </c>
      <c r="D84" s="14" t="str">
        <f t="shared" si="7"/>
        <v/>
      </c>
      <c r="E84" s="13" t="str">
        <f t="shared" si="4"/>
        <v/>
      </c>
      <c r="F84" s="14" t="str">
        <f t="shared" si="5"/>
        <v/>
      </c>
      <c r="G84" s="13" t="str">
        <f t="shared" si="6"/>
        <v/>
      </c>
    </row>
    <row r="85" spans="3:7" x14ac:dyDescent="0.3">
      <c r="C85" s="12">
        <v>55</v>
      </c>
      <c r="D85" s="14" t="str">
        <f t="shared" si="7"/>
        <v/>
      </c>
      <c r="E85" s="13" t="str">
        <f t="shared" si="4"/>
        <v/>
      </c>
      <c r="F85" s="14" t="str">
        <f t="shared" si="5"/>
        <v/>
      </c>
      <c r="G85" s="13" t="str">
        <f t="shared" si="6"/>
        <v/>
      </c>
    </row>
    <row r="86" spans="3:7" x14ac:dyDescent="0.3">
      <c r="C86" s="12">
        <v>56</v>
      </c>
      <c r="D86" s="14" t="str">
        <f t="shared" si="7"/>
        <v/>
      </c>
      <c r="E86" s="13" t="str">
        <f t="shared" si="4"/>
        <v/>
      </c>
      <c r="F86" s="14" t="str">
        <f t="shared" si="5"/>
        <v/>
      </c>
      <c r="G86" s="13" t="str">
        <f t="shared" si="6"/>
        <v/>
      </c>
    </row>
    <row r="87" spans="3:7" x14ac:dyDescent="0.3">
      <c r="C87" s="12">
        <v>57</v>
      </c>
      <c r="D87" s="14" t="str">
        <f t="shared" si="7"/>
        <v/>
      </c>
      <c r="E87" s="13" t="str">
        <f t="shared" si="4"/>
        <v/>
      </c>
      <c r="F87" s="14" t="str">
        <f t="shared" si="5"/>
        <v/>
      </c>
      <c r="G87" s="13" t="str">
        <f t="shared" si="6"/>
        <v/>
      </c>
    </row>
    <row r="88" spans="3:7" x14ac:dyDescent="0.3">
      <c r="C88" s="12">
        <v>58</v>
      </c>
      <c r="D88" s="14" t="str">
        <f t="shared" si="7"/>
        <v/>
      </c>
      <c r="E88" s="13" t="str">
        <f t="shared" si="4"/>
        <v/>
      </c>
      <c r="F88" s="14" t="str">
        <f t="shared" si="5"/>
        <v/>
      </c>
      <c r="G88" s="13" t="str">
        <f t="shared" si="6"/>
        <v/>
      </c>
    </row>
    <row r="89" spans="3:7" x14ac:dyDescent="0.3">
      <c r="C89" s="12">
        <v>59</v>
      </c>
      <c r="D89" s="14" t="str">
        <f t="shared" si="7"/>
        <v/>
      </c>
      <c r="E89" s="13" t="str">
        <f t="shared" si="4"/>
        <v/>
      </c>
      <c r="F89" s="14" t="str">
        <f t="shared" si="5"/>
        <v/>
      </c>
      <c r="G89" s="13" t="str">
        <f t="shared" si="6"/>
        <v/>
      </c>
    </row>
    <row r="90" spans="3:7" x14ac:dyDescent="0.3">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0% and 15%." sqref="F23">
      <formula1>0</formula1>
      <formula2>0.15</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topLeftCell="A16" zoomScale="115" zoomScaleNormal="115" workbookViewId="0">
      <selection activeCell="G23" sqref="G23"/>
    </sheetView>
  </sheetViews>
  <sheetFormatPr defaultColWidth="8.6640625" defaultRowHeight="14.4" x14ac:dyDescent="0.3"/>
  <cols>
    <col min="1" max="1" width="8.6640625" style="48"/>
    <col min="2" max="2" width="29.33203125" style="48" customWidth="1"/>
    <col min="3" max="3" width="12.88671875" style="48" customWidth="1"/>
    <col min="4" max="4" width="2.5546875" style="48" customWidth="1"/>
    <col min="5" max="5" width="15.6640625" style="48" customWidth="1"/>
    <col min="6" max="6" width="26.33203125" style="48" customWidth="1"/>
    <col min="7" max="7" width="18.44140625" style="48" customWidth="1"/>
    <col min="8" max="16384" width="8.6640625" style="48"/>
  </cols>
  <sheetData>
    <row r="18" spans="2:7" ht="15.75" thickBot="1" x14ac:dyDescent="0.3">
      <c r="B18" s="48" t="s">
        <v>66</v>
      </c>
      <c r="C18" s="49">
        <v>150000</v>
      </c>
      <c r="E18" s="48" t="s">
        <v>87</v>
      </c>
    </row>
    <row r="19" spans="2:7" ht="15.75" thickBot="1" x14ac:dyDescent="0.3">
      <c r="B19" s="48" t="s">
        <v>67</v>
      </c>
      <c r="C19" s="46">
        <v>5</v>
      </c>
      <c r="E19" s="48" t="s">
        <v>88</v>
      </c>
      <c r="G19" s="54">
        <f>PMT(C20/12,C19*12,-C18)</f>
        <v>2934.9222328092815</v>
      </c>
    </row>
    <row r="20" spans="2:7" ht="15" x14ac:dyDescent="0.25">
      <c r="B20" s="48" t="s">
        <v>15</v>
      </c>
      <c r="C20" s="111">
        <v>6.5000000000000002E-2</v>
      </c>
    </row>
    <row r="21" spans="2:7" ht="15" x14ac:dyDescent="0.25">
      <c r="B21" s="48" t="s">
        <v>68</v>
      </c>
      <c r="C21" s="49">
        <v>1000</v>
      </c>
      <c r="E21" s="48" t="s">
        <v>86</v>
      </c>
    </row>
    <row r="22" spans="2:7" ht="15" thickBot="1" x14ac:dyDescent="0.4">
      <c r="E22" s="48" t="s">
        <v>69</v>
      </c>
    </row>
    <row r="23" spans="2:7" ht="15" thickBot="1" x14ac:dyDescent="0.4">
      <c r="E23" s="48" t="s">
        <v>89</v>
      </c>
      <c r="G23" s="112">
        <f>NPER(C20/12,G19+C21,-C18)</f>
        <v>42.813763642925316</v>
      </c>
    </row>
    <row r="25" spans="2:7" x14ac:dyDescent="0.35">
      <c r="E25" s="48" t="s">
        <v>70</v>
      </c>
    </row>
    <row r="26" spans="2:7" x14ac:dyDescent="0.35">
      <c r="E26" s="48" t="s">
        <v>71</v>
      </c>
    </row>
    <row r="27" spans="2:7" x14ac:dyDescent="0.35">
      <c r="E27" s="48" t="s">
        <v>72</v>
      </c>
    </row>
    <row r="28" spans="2:7" x14ac:dyDescent="0.35">
      <c r="E28" s="48" t="s">
        <v>73</v>
      </c>
    </row>
    <row r="29" spans="2:7" x14ac:dyDescent="0.35">
      <c r="E29" s="48" t="s">
        <v>74</v>
      </c>
    </row>
    <row r="30" spans="2:7" ht="15" thickBot="1" x14ac:dyDescent="0.4">
      <c r="E30" s="48" t="s">
        <v>75</v>
      </c>
    </row>
    <row r="31" spans="2:7" ht="15" thickBot="1" x14ac:dyDescent="0.4">
      <c r="E31" s="48" t="s">
        <v>76</v>
      </c>
      <c r="G31" s="5">
        <f>(G19*C19*12)-(G23*(G19+C21))</f>
        <v>7626.5035397683678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tabSelected="1" topLeftCell="A7" zoomScale="115" zoomScaleNormal="115" workbookViewId="0">
      <selection activeCell="H22" sqref="H22"/>
    </sheetView>
  </sheetViews>
  <sheetFormatPr defaultRowHeight="14.4" x14ac:dyDescent="0.3"/>
  <cols>
    <col min="1" max="1" width="4.44140625" customWidth="1"/>
    <col min="7" max="7" width="10.5546875" customWidth="1"/>
    <col min="8" max="8" width="16.44140625" customWidth="1"/>
    <col min="13" max="13" width="9.88671875" customWidth="1"/>
    <col min="14" max="14" width="16.5546875" style="110" customWidth="1"/>
    <col min="15" max="15" width="14.44140625" customWidth="1"/>
    <col min="16" max="16" width="15.109375" customWidth="1"/>
  </cols>
  <sheetData>
    <row r="2" spans="2:16" x14ac:dyDescent="0.35">
      <c r="B2" s="58" t="s">
        <v>111</v>
      </c>
      <c r="C2" s="58"/>
      <c r="D2" s="58"/>
      <c r="E2" s="58"/>
      <c r="F2" s="58"/>
      <c r="G2" s="58"/>
      <c r="H2" s="58"/>
      <c r="I2" s="58"/>
      <c r="J2" s="58"/>
      <c r="K2" s="58"/>
    </row>
    <row r="3" spans="2:16" x14ac:dyDescent="0.35">
      <c r="B3" s="58" t="s">
        <v>212</v>
      </c>
      <c r="C3" s="58"/>
      <c r="D3" s="58"/>
      <c r="E3" s="58"/>
      <c r="F3" s="58"/>
      <c r="G3" s="58"/>
      <c r="H3" s="58"/>
      <c r="I3" s="58"/>
      <c r="J3" s="58"/>
      <c r="K3" s="58"/>
    </row>
    <row r="4" spans="2:16" ht="15" x14ac:dyDescent="0.25">
      <c r="B4" s="58" t="s">
        <v>210</v>
      </c>
      <c r="C4" s="58"/>
      <c r="D4" s="58"/>
      <c r="E4" s="58"/>
      <c r="F4" s="58"/>
      <c r="G4" s="58"/>
      <c r="H4" s="58"/>
      <c r="I4" s="58"/>
      <c r="J4" s="58"/>
      <c r="K4" s="58"/>
    </row>
    <row r="5" spans="2:16" s="100" customFormat="1" ht="15" x14ac:dyDescent="0.25">
      <c r="N5" s="110"/>
    </row>
    <row r="6" spans="2:16" s="100" customFormat="1" ht="15" x14ac:dyDescent="0.25">
      <c r="B6" s="100" t="s">
        <v>213</v>
      </c>
      <c r="N6" s="110"/>
    </row>
    <row r="7" spans="2:16" ht="17.25" customHeight="1" x14ac:dyDescent="0.25">
      <c r="B7" s="58" t="s">
        <v>214</v>
      </c>
      <c r="C7" s="58"/>
      <c r="D7" s="58"/>
      <c r="E7" s="58"/>
      <c r="F7" s="58"/>
      <c r="G7" s="58"/>
      <c r="H7" s="58"/>
      <c r="I7" s="58"/>
      <c r="J7" s="58"/>
      <c r="K7" s="58"/>
    </row>
    <row r="8" spans="2:16" x14ac:dyDescent="0.35">
      <c r="B8" s="58" t="s">
        <v>215</v>
      </c>
      <c r="C8" s="58"/>
      <c r="D8" s="58"/>
      <c r="E8" s="58"/>
      <c r="F8" s="58"/>
      <c r="G8" s="58"/>
      <c r="H8" s="58"/>
      <c r="I8" s="58"/>
      <c r="J8" s="58"/>
      <c r="K8" s="58"/>
    </row>
    <row r="9" spans="2:16" x14ac:dyDescent="0.35">
      <c r="B9" s="58" t="s">
        <v>112</v>
      </c>
      <c r="C9" s="58"/>
      <c r="D9" s="58"/>
      <c r="E9" s="58"/>
      <c r="F9" s="58"/>
      <c r="G9" s="58"/>
      <c r="H9" s="58"/>
      <c r="I9" s="58"/>
      <c r="J9" s="58"/>
      <c r="K9" s="58"/>
    </row>
    <row r="10" spans="2:16" x14ac:dyDescent="0.35">
      <c r="B10" s="58" t="s">
        <v>216</v>
      </c>
      <c r="C10" s="58"/>
      <c r="D10" s="58"/>
      <c r="E10" s="58"/>
      <c r="F10" s="58"/>
      <c r="G10" s="58"/>
      <c r="H10" s="58"/>
      <c r="I10" s="58"/>
      <c r="J10" s="58"/>
      <c r="K10" s="58"/>
    </row>
    <row r="11" spans="2:16" x14ac:dyDescent="0.35">
      <c r="B11" s="58" t="s">
        <v>113</v>
      </c>
      <c r="C11" s="58"/>
      <c r="D11" s="58"/>
      <c r="E11" s="58"/>
      <c r="F11" s="58"/>
      <c r="G11" s="58"/>
      <c r="H11" s="58"/>
      <c r="I11" s="58"/>
      <c r="J11" s="58"/>
      <c r="K11" s="58"/>
    </row>
    <row r="12" spans="2:16" x14ac:dyDescent="0.35">
      <c r="B12" s="58" t="s">
        <v>114</v>
      </c>
      <c r="C12" s="58"/>
      <c r="D12" s="58"/>
      <c r="E12" s="58"/>
      <c r="F12" s="58"/>
      <c r="G12" s="58"/>
      <c r="H12" s="58"/>
      <c r="I12" s="58"/>
      <c r="J12" s="58"/>
      <c r="K12" s="58"/>
    </row>
    <row r="13" spans="2:16" ht="15" thickBot="1" x14ac:dyDescent="0.4">
      <c r="B13" s="58"/>
      <c r="C13" s="58"/>
      <c r="D13" s="58"/>
      <c r="E13" s="58"/>
      <c r="F13" s="58"/>
      <c r="G13" s="58"/>
      <c r="H13" s="58"/>
      <c r="I13" s="58"/>
      <c r="J13" s="58"/>
      <c r="K13" s="58"/>
      <c r="O13" s="103"/>
      <c r="P13" s="103"/>
    </row>
    <row r="14" spans="2:16" ht="15" thickBot="1" x14ac:dyDescent="0.4">
      <c r="B14" s="58"/>
      <c r="C14" s="58" t="s">
        <v>115</v>
      </c>
      <c r="D14" s="58"/>
      <c r="E14" s="58"/>
      <c r="F14" s="58"/>
      <c r="G14" s="58"/>
      <c r="H14" s="62">
        <v>6.5000000000000002E-2</v>
      </c>
      <c r="I14" s="58"/>
      <c r="J14" s="58"/>
      <c r="K14" s="58"/>
      <c r="O14" s="103" t="s">
        <v>204</v>
      </c>
      <c r="P14" s="103" t="s">
        <v>206</v>
      </c>
    </row>
    <row r="15" spans="2:16" ht="15" thickBot="1" x14ac:dyDescent="0.4">
      <c r="B15" s="60"/>
      <c r="C15" s="60"/>
      <c r="D15" s="60"/>
      <c r="E15" s="60"/>
      <c r="F15" s="60"/>
      <c r="G15" s="60"/>
      <c r="H15" s="60"/>
      <c r="I15" s="60"/>
      <c r="J15" s="60"/>
      <c r="K15" s="60"/>
      <c r="M15" s="103" t="s">
        <v>207</v>
      </c>
      <c r="N15" s="103" t="s">
        <v>208</v>
      </c>
      <c r="O15" s="103" t="s">
        <v>205</v>
      </c>
      <c r="P15" s="103" t="s">
        <v>13</v>
      </c>
    </row>
    <row r="16" spans="2:16" ht="15" thickBot="1" x14ac:dyDescent="0.4">
      <c r="B16" s="117" t="s">
        <v>116</v>
      </c>
      <c r="C16" s="117"/>
      <c r="D16" s="117"/>
      <c r="E16" s="117"/>
      <c r="F16" s="117"/>
      <c r="G16" s="117"/>
      <c r="H16" s="117"/>
      <c r="I16" s="117"/>
      <c r="J16" s="117"/>
      <c r="K16" s="117"/>
      <c r="M16" s="109">
        <v>41275</v>
      </c>
      <c r="N16" s="110" t="s">
        <v>149</v>
      </c>
      <c r="O16" s="59">
        <v>25000</v>
      </c>
      <c r="P16" s="59">
        <f>O16</f>
        <v>25000</v>
      </c>
    </row>
    <row r="17" spans="3:16" x14ac:dyDescent="0.35">
      <c r="M17" s="109">
        <v>41640</v>
      </c>
      <c r="N17" s="110" t="s">
        <v>150</v>
      </c>
      <c r="O17" s="59">
        <f>H24</f>
        <v>18677.203280252077</v>
      </c>
      <c r="P17" s="59">
        <f>O17+(P16*(1+$H$14))</f>
        <v>45302.203280252077</v>
      </c>
    </row>
    <row r="18" spans="3:16" x14ac:dyDescent="0.35">
      <c r="C18" s="61" t="s">
        <v>117</v>
      </c>
      <c r="D18" t="s">
        <v>228</v>
      </c>
      <c r="H18" s="59">
        <f>-PV(H14,25,250000,0)</f>
        <v>3049469.1812641248</v>
      </c>
      <c r="M18" s="109">
        <v>42005</v>
      </c>
      <c r="N18" s="110" t="s">
        <v>151</v>
      </c>
      <c r="O18" s="59">
        <f t="shared" ref="O18:O54" si="0">O17</f>
        <v>18677.203280252077</v>
      </c>
      <c r="P18" s="59">
        <f t="shared" ref="P18:P79" si="1">O18+(P17*(1+$H$14))</f>
        <v>66924.04977372053</v>
      </c>
    </row>
    <row r="19" spans="3:16" x14ac:dyDescent="0.35">
      <c r="M19" s="109">
        <v>42370</v>
      </c>
      <c r="N19" s="110" t="s">
        <v>152</v>
      </c>
      <c r="O19" s="59">
        <f t="shared" si="0"/>
        <v>18677.203280252077</v>
      </c>
      <c r="P19" s="59">
        <f t="shared" si="1"/>
        <v>89951.316289264447</v>
      </c>
    </row>
    <row r="20" spans="3:16" ht="15" x14ac:dyDescent="0.25">
      <c r="C20" s="61" t="s">
        <v>118</v>
      </c>
      <c r="D20" t="s">
        <v>211</v>
      </c>
      <c r="H20" s="59">
        <f>-PV(H14,38,0,H18)</f>
        <v>278573.08465282153</v>
      </c>
      <c r="M20" s="109">
        <v>42736</v>
      </c>
      <c r="N20" s="110" t="s">
        <v>153</v>
      </c>
      <c r="O20" s="59">
        <f t="shared" si="0"/>
        <v>18677.203280252077</v>
      </c>
      <c r="P20" s="59">
        <f t="shared" si="1"/>
        <v>114475.35512831871</v>
      </c>
    </row>
    <row r="21" spans="3:16" x14ac:dyDescent="0.3">
      <c r="C21" t="s">
        <v>119</v>
      </c>
      <c r="D21" t="s">
        <v>217</v>
      </c>
      <c r="H21" s="113">
        <v>-25000</v>
      </c>
      <c r="M21" s="109">
        <v>43101</v>
      </c>
      <c r="N21" s="110" t="s">
        <v>154</v>
      </c>
      <c r="O21" s="59">
        <f t="shared" si="0"/>
        <v>18677.203280252077</v>
      </c>
      <c r="P21" s="59">
        <f t="shared" si="1"/>
        <v>140593.45649191149</v>
      </c>
    </row>
    <row r="22" spans="3:16" x14ac:dyDescent="0.3">
      <c r="C22" t="s">
        <v>219</v>
      </c>
      <c r="D22" t="s">
        <v>218</v>
      </c>
      <c r="H22" s="59">
        <f>SUM(H20:H21)</f>
        <v>253573.08465282153</v>
      </c>
      <c r="M22" s="109">
        <v>43466</v>
      </c>
      <c r="N22" s="110" t="s">
        <v>155</v>
      </c>
      <c r="O22" s="59">
        <f t="shared" si="0"/>
        <v>18677.203280252077</v>
      </c>
      <c r="P22" s="59">
        <f t="shared" si="1"/>
        <v>168409.23444413781</v>
      </c>
    </row>
    <row r="23" spans="3:16" x14ac:dyDescent="0.3">
      <c r="M23" s="109">
        <v>43831</v>
      </c>
      <c r="N23" s="110" t="s">
        <v>156</v>
      </c>
      <c r="O23" s="59">
        <f t="shared" si="0"/>
        <v>18677.203280252077</v>
      </c>
      <c r="P23" s="59">
        <f t="shared" si="1"/>
        <v>198033.03796325883</v>
      </c>
    </row>
    <row r="24" spans="3:16" x14ac:dyDescent="0.3">
      <c r="C24" s="61" t="s">
        <v>220</v>
      </c>
      <c r="D24" t="s">
        <v>221</v>
      </c>
      <c r="H24" s="59">
        <f>PMT(H14,34,-H22,0)</f>
        <v>18677.203280252077</v>
      </c>
      <c r="I24" s="61" t="s">
        <v>120</v>
      </c>
      <c r="M24" s="109">
        <v>44197</v>
      </c>
      <c r="N24" s="110" t="s">
        <v>157</v>
      </c>
      <c r="O24" s="59">
        <f t="shared" si="0"/>
        <v>18677.203280252077</v>
      </c>
      <c r="P24" s="59">
        <f t="shared" si="1"/>
        <v>229582.38871112274</v>
      </c>
    </row>
    <row r="25" spans="3:16" x14ac:dyDescent="0.3">
      <c r="D25" t="s">
        <v>222</v>
      </c>
      <c r="M25" s="109">
        <v>44562</v>
      </c>
      <c r="N25" s="110" t="s">
        <v>158</v>
      </c>
      <c r="O25" s="59">
        <f t="shared" si="0"/>
        <v>18677.203280252077</v>
      </c>
      <c r="P25" s="59">
        <f t="shared" si="1"/>
        <v>263182.44725759776</v>
      </c>
    </row>
    <row r="26" spans="3:16" x14ac:dyDescent="0.3">
      <c r="M26" s="109">
        <v>44927</v>
      </c>
      <c r="N26" s="110" t="s">
        <v>159</v>
      </c>
      <c r="O26" s="59">
        <f t="shared" si="0"/>
        <v>18677.203280252077</v>
      </c>
      <c r="P26" s="59">
        <f t="shared" si="1"/>
        <v>298966.50960959366</v>
      </c>
    </row>
    <row r="27" spans="3:16" x14ac:dyDescent="0.3">
      <c r="M27" s="109">
        <v>45292</v>
      </c>
      <c r="N27" s="110" t="s">
        <v>160</v>
      </c>
      <c r="O27" s="59">
        <f t="shared" si="0"/>
        <v>18677.203280252077</v>
      </c>
      <c r="P27" s="59">
        <f t="shared" si="1"/>
        <v>337076.53601446928</v>
      </c>
    </row>
    <row r="28" spans="3:16" x14ac:dyDescent="0.3">
      <c r="M28" s="109">
        <v>45658</v>
      </c>
      <c r="N28" s="110" t="s">
        <v>161</v>
      </c>
      <c r="O28" s="59">
        <f t="shared" si="0"/>
        <v>18677.203280252077</v>
      </c>
      <c r="P28" s="59">
        <f t="shared" si="1"/>
        <v>377663.71413566184</v>
      </c>
    </row>
    <row r="29" spans="3:16" x14ac:dyDescent="0.3">
      <c r="M29" s="109">
        <v>46023</v>
      </c>
      <c r="N29" s="110" t="s">
        <v>162</v>
      </c>
      <c r="O29" s="59">
        <f t="shared" si="0"/>
        <v>18677.203280252077</v>
      </c>
      <c r="P29" s="59">
        <f t="shared" si="1"/>
        <v>420889.05883473187</v>
      </c>
    </row>
    <row r="30" spans="3:16" x14ac:dyDescent="0.3">
      <c r="M30" s="109">
        <v>46388</v>
      </c>
      <c r="N30" s="110" t="s">
        <v>163</v>
      </c>
      <c r="O30" s="59">
        <f t="shared" si="0"/>
        <v>18677.203280252077</v>
      </c>
      <c r="P30" s="59">
        <f t="shared" si="1"/>
        <v>466924.05093924148</v>
      </c>
    </row>
    <row r="31" spans="3:16" x14ac:dyDescent="0.3">
      <c r="M31" s="109">
        <v>46753</v>
      </c>
      <c r="N31" s="110" t="s">
        <v>164</v>
      </c>
      <c r="O31" s="59">
        <f t="shared" si="0"/>
        <v>18677.203280252077</v>
      </c>
      <c r="P31" s="59">
        <f t="shared" si="1"/>
        <v>515951.31753054418</v>
      </c>
    </row>
    <row r="32" spans="3:16" x14ac:dyDescent="0.3">
      <c r="M32" s="109">
        <v>47119</v>
      </c>
      <c r="N32" s="110" t="s">
        <v>165</v>
      </c>
      <c r="O32" s="59">
        <f t="shared" si="0"/>
        <v>18677.203280252077</v>
      </c>
      <c r="P32" s="59">
        <f t="shared" si="1"/>
        <v>568165.35645028157</v>
      </c>
    </row>
    <row r="33" spans="13:16" x14ac:dyDescent="0.3">
      <c r="M33" s="109">
        <v>47484</v>
      </c>
      <c r="N33" s="110" t="s">
        <v>166</v>
      </c>
      <c r="O33" s="59">
        <f t="shared" si="0"/>
        <v>18677.203280252077</v>
      </c>
      <c r="P33" s="59">
        <f t="shared" si="1"/>
        <v>623773.30789980188</v>
      </c>
    </row>
    <row r="34" spans="13:16" x14ac:dyDescent="0.3">
      <c r="M34" s="109">
        <v>47849</v>
      </c>
      <c r="N34" s="110" t="s">
        <v>167</v>
      </c>
      <c r="O34" s="59">
        <f t="shared" si="0"/>
        <v>18677.203280252077</v>
      </c>
      <c r="P34" s="59">
        <f t="shared" si="1"/>
        <v>682995.77619354101</v>
      </c>
    </row>
    <row r="35" spans="13:16" x14ac:dyDescent="0.3">
      <c r="M35" s="109">
        <v>48214</v>
      </c>
      <c r="N35" s="110" t="s">
        <v>168</v>
      </c>
      <c r="O35" s="59">
        <f t="shared" si="0"/>
        <v>18677.203280252077</v>
      </c>
      <c r="P35" s="59">
        <f t="shared" si="1"/>
        <v>746067.7049263732</v>
      </c>
    </row>
    <row r="36" spans="13:16" x14ac:dyDescent="0.3">
      <c r="M36" s="109">
        <v>48580</v>
      </c>
      <c r="N36" s="110" t="s">
        <v>169</v>
      </c>
      <c r="O36" s="59">
        <f t="shared" si="0"/>
        <v>18677.203280252077</v>
      </c>
      <c r="P36" s="59">
        <f t="shared" si="1"/>
        <v>813239.30902683944</v>
      </c>
    </row>
    <row r="37" spans="13:16" x14ac:dyDescent="0.3">
      <c r="M37" s="109">
        <v>48945</v>
      </c>
      <c r="N37" s="110" t="s">
        <v>170</v>
      </c>
      <c r="O37" s="59">
        <f t="shared" si="0"/>
        <v>18677.203280252077</v>
      </c>
      <c r="P37" s="59">
        <f t="shared" si="1"/>
        <v>884777.06739383598</v>
      </c>
    </row>
    <row r="38" spans="13:16" x14ac:dyDescent="0.3">
      <c r="M38" s="109">
        <v>49310</v>
      </c>
      <c r="N38" s="110" t="s">
        <v>171</v>
      </c>
      <c r="O38" s="59">
        <f t="shared" si="0"/>
        <v>18677.203280252077</v>
      </c>
      <c r="P38" s="59">
        <f t="shared" si="1"/>
        <v>960964.78005468729</v>
      </c>
    </row>
    <row r="39" spans="13:16" x14ac:dyDescent="0.3">
      <c r="M39" s="109">
        <v>49675</v>
      </c>
      <c r="N39" s="110" t="s">
        <v>172</v>
      </c>
      <c r="O39" s="59">
        <f t="shared" si="0"/>
        <v>18677.203280252077</v>
      </c>
      <c r="P39" s="59">
        <f t="shared" si="1"/>
        <v>1042104.694038494</v>
      </c>
    </row>
    <row r="40" spans="13:16" x14ac:dyDescent="0.3">
      <c r="M40" s="109">
        <v>50041</v>
      </c>
      <c r="N40" s="110" t="s">
        <v>173</v>
      </c>
      <c r="O40" s="59">
        <f t="shared" si="0"/>
        <v>18677.203280252077</v>
      </c>
      <c r="P40" s="59">
        <f t="shared" si="1"/>
        <v>1128518.7024312483</v>
      </c>
    </row>
    <row r="41" spans="13:16" x14ac:dyDescent="0.3">
      <c r="M41" s="109">
        <v>50406</v>
      </c>
      <c r="N41" s="110" t="s">
        <v>174</v>
      </c>
      <c r="O41" s="59">
        <f t="shared" si="0"/>
        <v>18677.203280252077</v>
      </c>
      <c r="P41" s="59">
        <f t="shared" si="1"/>
        <v>1220549.6213695316</v>
      </c>
    </row>
    <row r="42" spans="13:16" x14ac:dyDescent="0.3">
      <c r="M42" s="109">
        <v>50771</v>
      </c>
      <c r="N42" s="110" t="s">
        <v>175</v>
      </c>
      <c r="O42" s="59">
        <f t="shared" si="0"/>
        <v>18677.203280252077</v>
      </c>
      <c r="P42" s="59">
        <f t="shared" si="1"/>
        <v>1318562.5500388034</v>
      </c>
    </row>
    <row r="43" spans="13:16" x14ac:dyDescent="0.3">
      <c r="M43" s="109">
        <v>51136</v>
      </c>
      <c r="N43" s="110" t="s">
        <v>176</v>
      </c>
      <c r="O43" s="59">
        <f t="shared" si="0"/>
        <v>18677.203280252077</v>
      </c>
      <c r="P43" s="59">
        <f t="shared" si="1"/>
        <v>1422946.3190715776</v>
      </c>
    </row>
    <row r="44" spans="13:16" x14ac:dyDescent="0.3">
      <c r="M44" s="109">
        <v>51502</v>
      </c>
      <c r="N44" s="110" t="s">
        <v>177</v>
      </c>
      <c r="O44" s="59">
        <f t="shared" si="0"/>
        <v>18677.203280252077</v>
      </c>
      <c r="P44" s="59">
        <f t="shared" si="1"/>
        <v>1534115.0330914822</v>
      </c>
    </row>
    <row r="45" spans="13:16" x14ac:dyDescent="0.3">
      <c r="M45" s="109">
        <v>51867</v>
      </c>
      <c r="N45" s="110" t="s">
        <v>178</v>
      </c>
      <c r="O45" s="59">
        <f t="shared" si="0"/>
        <v>18677.203280252077</v>
      </c>
      <c r="P45" s="59">
        <f t="shared" si="1"/>
        <v>1652509.7135226806</v>
      </c>
    </row>
    <row r="46" spans="13:16" x14ac:dyDescent="0.3">
      <c r="M46" s="109">
        <v>52232</v>
      </c>
      <c r="N46" s="110" t="s">
        <v>179</v>
      </c>
      <c r="O46" s="59">
        <f t="shared" si="0"/>
        <v>18677.203280252077</v>
      </c>
      <c r="P46" s="59">
        <f t="shared" si="1"/>
        <v>1778600.0481819068</v>
      </c>
    </row>
    <row r="47" spans="13:16" x14ac:dyDescent="0.3">
      <c r="M47" s="109">
        <v>52597</v>
      </c>
      <c r="N47" s="110" t="s">
        <v>180</v>
      </c>
      <c r="O47" s="59">
        <f t="shared" si="0"/>
        <v>18677.203280252077</v>
      </c>
      <c r="P47" s="59">
        <f t="shared" si="1"/>
        <v>1912886.2545939828</v>
      </c>
    </row>
    <row r="48" spans="13:16" x14ac:dyDescent="0.3">
      <c r="M48" s="109">
        <v>52963</v>
      </c>
      <c r="N48" s="110" t="s">
        <v>181</v>
      </c>
      <c r="O48" s="59">
        <f t="shared" si="0"/>
        <v>18677.203280252077</v>
      </c>
      <c r="P48" s="59">
        <f t="shared" si="1"/>
        <v>2055901.0644228437</v>
      </c>
    </row>
    <row r="49" spans="13:16" x14ac:dyDescent="0.3">
      <c r="M49" s="109">
        <v>53328</v>
      </c>
      <c r="N49" s="110" t="s">
        <v>182</v>
      </c>
      <c r="O49" s="59">
        <f t="shared" si="0"/>
        <v>18677.203280252077</v>
      </c>
      <c r="P49" s="59">
        <f t="shared" si="1"/>
        <v>2208211.8368905806</v>
      </c>
    </row>
    <row r="50" spans="13:16" x14ac:dyDescent="0.3">
      <c r="M50" s="109">
        <v>53693</v>
      </c>
      <c r="N50" s="110" t="s">
        <v>183</v>
      </c>
      <c r="O50" s="59">
        <f t="shared" si="0"/>
        <v>18677.203280252077</v>
      </c>
      <c r="P50" s="59">
        <f t="shared" si="1"/>
        <v>2370422.8095687199</v>
      </c>
    </row>
    <row r="51" spans="13:16" x14ac:dyDescent="0.3">
      <c r="M51" s="109">
        <v>54058</v>
      </c>
      <c r="N51" s="110" t="s">
        <v>209</v>
      </c>
      <c r="O51" s="59">
        <v>0</v>
      </c>
      <c r="P51" s="59">
        <f t="shared" si="1"/>
        <v>2524500.2921906868</v>
      </c>
    </row>
    <row r="52" spans="13:16" x14ac:dyDescent="0.3">
      <c r="M52" s="109">
        <v>54424</v>
      </c>
      <c r="N52" s="110" t="s">
        <v>209</v>
      </c>
      <c r="O52" s="59">
        <v>0</v>
      </c>
      <c r="P52" s="59">
        <f t="shared" si="1"/>
        <v>2688592.8111830815</v>
      </c>
    </row>
    <row r="53" spans="13:16" x14ac:dyDescent="0.3">
      <c r="M53" s="109">
        <v>54789</v>
      </c>
      <c r="N53" s="110" t="s">
        <v>209</v>
      </c>
      <c r="O53" s="59">
        <f t="shared" si="0"/>
        <v>0</v>
      </c>
      <c r="P53" s="59">
        <f t="shared" si="1"/>
        <v>2863351.3439099817</v>
      </c>
    </row>
    <row r="54" spans="13:16" x14ac:dyDescent="0.3">
      <c r="M54" s="109">
        <v>55154</v>
      </c>
      <c r="N54" s="110" t="s">
        <v>209</v>
      </c>
      <c r="O54" s="59">
        <f t="shared" si="0"/>
        <v>0</v>
      </c>
      <c r="P54" s="59">
        <f t="shared" si="1"/>
        <v>3049469.1812641304</v>
      </c>
    </row>
    <row r="55" spans="13:16" x14ac:dyDescent="0.3">
      <c r="M55" s="109">
        <v>55519</v>
      </c>
      <c r="N55" s="110" t="s">
        <v>184</v>
      </c>
      <c r="O55" s="59">
        <v>-250000</v>
      </c>
      <c r="P55" s="59">
        <f t="shared" si="1"/>
        <v>2997684.6780462987</v>
      </c>
    </row>
    <row r="56" spans="13:16" x14ac:dyDescent="0.3">
      <c r="M56" s="109">
        <v>55885</v>
      </c>
      <c r="N56" s="110" t="s">
        <v>185</v>
      </c>
      <c r="O56" s="59">
        <v>-250000</v>
      </c>
      <c r="P56" s="59">
        <f t="shared" si="1"/>
        <v>2942534.182119308</v>
      </c>
    </row>
    <row r="57" spans="13:16" x14ac:dyDescent="0.3">
      <c r="M57" s="109">
        <v>56250</v>
      </c>
      <c r="N57" s="110" t="s">
        <v>186</v>
      </c>
      <c r="O57" s="59">
        <v>-250000</v>
      </c>
      <c r="P57" s="59">
        <f t="shared" si="1"/>
        <v>2883798.9039570629</v>
      </c>
    </row>
    <row r="58" spans="13:16" x14ac:dyDescent="0.3">
      <c r="M58" s="109">
        <v>56615</v>
      </c>
      <c r="N58" s="110" t="s">
        <v>187</v>
      </c>
      <c r="O58" s="59">
        <v>-250000</v>
      </c>
      <c r="P58" s="59">
        <f t="shared" si="1"/>
        <v>2821245.8327142717</v>
      </c>
    </row>
    <row r="59" spans="13:16" x14ac:dyDescent="0.3">
      <c r="M59" s="109">
        <v>56980</v>
      </c>
      <c r="N59" s="110" t="s">
        <v>188</v>
      </c>
      <c r="O59" s="59">
        <v>-250000</v>
      </c>
      <c r="P59" s="59">
        <f t="shared" si="1"/>
        <v>2754626.8118406991</v>
      </c>
    </row>
    <row r="60" spans="13:16" x14ac:dyDescent="0.3">
      <c r="M60" s="109">
        <v>57346</v>
      </c>
      <c r="N60" s="110" t="s">
        <v>189</v>
      </c>
      <c r="O60" s="59">
        <v>-250000</v>
      </c>
      <c r="P60" s="59">
        <f t="shared" si="1"/>
        <v>2683677.5546103441</v>
      </c>
    </row>
    <row r="61" spans="13:16" x14ac:dyDescent="0.3">
      <c r="M61" s="109">
        <v>57711</v>
      </c>
      <c r="N61" s="110" t="s">
        <v>190</v>
      </c>
      <c r="O61" s="59">
        <v>-250000</v>
      </c>
      <c r="P61" s="59">
        <f t="shared" si="1"/>
        <v>2608116.5956600164</v>
      </c>
    </row>
    <row r="62" spans="13:16" x14ac:dyDescent="0.3">
      <c r="M62" s="109">
        <v>58076</v>
      </c>
      <c r="N62" s="110" t="s">
        <v>191</v>
      </c>
      <c r="O62" s="59">
        <v>-250000</v>
      </c>
      <c r="P62" s="59">
        <f t="shared" si="1"/>
        <v>2527644.1743779173</v>
      </c>
    </row>
    <row r="63" spans="13:16" x14ac:dyDescent="0.3">
      <c r="M63" s="109">
        <v>58441</v>
      </c>
      <c r="N63" s="110" t="s">
        <v>192</v>
      </c>
      <c r="O63" s="59">
        <v>-250000</v>
      </c>
      <c r="P63" s="59">
        <f t="shared" si="1"/>
        <v>2441941.0457124817</v>
      </c>
    </row>
    <row r="64" spans="13:16" x14ac:dyDescent="0.3">
      <c r="M64" s="109">
        <v>58807</v>
      </c>
      <c r="N64" s="110" t="s">
        <v>193</v>
      </c>
      <c r="O64" s="59">
        <v>-250000</v>
      </c>
      <c r="P64" s="59">
        <f t="shared" si="1"/>
        <v>2350667.2136837929</v>
      </c>
    </row>
    <row r="65" spans="13:16" x14ac:dyDescent="0.3">
      <c r="M65" s="109">
        <v>59172</v>
      </c>
      <c r="N65" s="110" t="s">
        <v>194</v>
      </c>
      <c r="O65" s="59">
        <v>-250000</v>
      </c>
      <c r="P65" s="59">
        <f t="shared" si="1"/>
        <v>2253460.5825732392</v>
      </c>
    </row>
    <row r="66" spans="13:16" x14ac:dyDescent="0.3">
      <c r="M66" s="109">
        <v>59537</v>
      </c>
      <c r="N66" s="110" t="s">
        <v>195</v>
      </c>
      <c r="O66" s="59">
        <v>-250000</v>
      </c>
      <c r="P66" s="59">
        <f t="shared" si="1"/>
        <v>2149935.5204404998</v>
      </c>
    </row>
    <row r="67" spans="13:16" x14ac:dyDescent="0.3">
      <c r="M67" s="109">
        <v>59902</v>
      </c>
      <c r="N67" s="110" t="s">
        <v>196</v>
      </c>
      <c r="O67" s="59">
        <v>-250000</v>
      </c>
      <c r="P67" s="59">
        <f t="shared" si="1"/>
        <v>2039681.3292691321</v>
      </c>
    </row>
    <row r="68" spans="13:16" x14ac:dyDescent="0.3">
      <c r="M68" s="109">
        <v>60268</v>
      </c>
      <c r="N68" s="110" t="s">
        <v>197</v>
      </c>
      <c r="O68" s="59">
        <v>-250000</v>
      </c>
      <c r="P68" s="59">
        <f t="shared" si="1"/>
        <v>1922260.6156716254</v>
      </c>
    </row>
    <row r="69" spans="13:16" x14ac:dyDescent="0.3">
      <c r="M69" s="109">
        <v>60633</v>
      </c>
      <c r="N69" s="110" t="s">
        <v>198</v>
      </c>
      <c r="O69" s="59">
        <v>-250000</v>
      </c>
      <c r="P69" s="59">
        <f t="shared" si="1"/>
        <v>1797207.5556902809</v>
      </c>
    </row>
    <row r="70" spans="13:16" x14ac:dyDescent="0.3">
      <c r="M70" s="109">
        <v>60998</v>
      </c>
      <c r="N70" s="110" t="s">
        <v>199</v>
      </c>
      <c r="O70" s="59">
        <v>-250000</v>
      </c>
      <c r="P70" s="59">
        <f t="shared" si="1"/>
        <v>1664026.046810149</v>
      </c>
    </row>
    <row r="71" spans="13:16" x14ac:dyDescent="0.3">
      <c r="M71" s="109">
        <v>61363</v>
      </c>
      <c r="N71" s="110" t="s">
        <v>200</v>
      </c>
      <c r="O71" s="59">
        <v>-250000</v>
      </c>
      <c r="P71" s="59">
        <f t="shared" si="1"/>
        <v>1522187.7398528086</v>
      </c>
    </row>
    <row r="72" spans="13:16" x14ac:dyDescent="0.3">
      <c r="M72" s="109">
        <v>61729</v>
      </c>
      <c r="N72" s="110" t="s">
        <v>201</v>
      </c>
      <c r="O72" s="59">
        <v>-250000</v>
      </c>
      <c r="P72" s="59">
        <f t="shared" si="1"/>
        <v>1371129.9429432412</v>
      </c>
    </row>
    <row r="73" spans="13:16" x14ac:dyDescent="0.3">
      <c r="M73" s="109">
        <v>62094</v>
      </c>
      <c r="N73" s="110" t="s">
        <v>202</v>
      </c>
      <c r="O73" s="59">
        <v>-250000</v>
      </c>
      <c r="P73" s="59">
        <f t="shared" si="1"/>
        <v>1210253.3892345519</v>
      </c>
    </row>
    <row r="74" spans="13:16" x14ac:dyDescent="0.3">
      <c r="M74" s="109">
        <v>62459</v>
      </c>
      <c r="N74" s="110" t="s">
        <v>203</v>
      </c>
      <c r="O74" s="59">
        <v>-250000</v>
      </c>
      <c r="P74" s="59">
        <f t="shared" si="1"/>
        <v>1038919.8595347977</v>
      </c>
    </row>
    <row r="75" spans="13:16" x14ac:dyDescent="0.3">
      <c r="M75" s="109">
        <v>62824</v>
      </c>
      <c r="N75" s="110" t="s">
        <v>223</v>
      </c>
      <c r="O75" s="59">
        <v>-250000</v>
      </c>
      <c r="P75" s="59">
        <f t="shared" si="1"/>
        <v>856449.65040455945</v>
      </c>
    </row>
    <row r="76" spans="13:16" x14ac:dyDescent="0.3">
      <c r="M76" s="109">
        <v>63190</v>
      </c>
      <c r="N76" s="110" t="s">
        <v>224</v>
      </c>
      <c r="O76" s="59">
        <v>-250000</v>
      </c>
      <c r="P76" s="59">
        <f t="shared" si="1"/>
        <v>662118.8776808558</v>
      </c>
    </row>
    <row r="77" spans="13:16" x14ac:dyDescent="0.3">
      <c r="M77" s="109">
        <v>63555</v>
      </c>
      <c r="N77" s="110" t="s">
        <v>225</v>
      </c>
      <c r="O77" s="59">
        <v>-250000</v>
      </c>
      <c r="P77" s="59">
        <f t="shared" si="1"/>
        <v>455156.60473011143</v>
      </c>
    </row>
    <row r="78" spans="13:16" x14ac:dyDescent="0.3">
      <c r="M78" s="109">
        <v>63920</v>
      </c>
      <c r="N78" s="110" t="s">
        <v>226</v>
      </c>
      <c r="O78" s="59">
        <v>-250000</v>
      </c>
      <c r="P78" s="59">
        <f t="shared" si="1"/>
        <v>234741.78403756866</v>
      </c>
    </row>
    <row r="79" spans="13:16" x14ac:dyDescent="0.3">
      <c r="M79" s="109">
        <v>64285</v>
      </c>
      <c r="N79" s="110" t="s">
        <v>227</v>
      </c>
      <c r="O79" s="59">
        <v>-250000</v>
      </c>
      <c r="P79" s="59">
        <f t="shared" si="1"/>
        <v>1.0622898116707802E-8</v>
      </c>
    </row>
    <row r="80" spans="13:16" x14ac:dyDescent="0.3">
      <c r="M80" s="109"/>
      <c r="O80" s="59"/>
      <c r="P80" s="59"/>
    </row>
    <row r="81" spans="13:16" x14ac:dyDescent="0.3">
      <c r="M81" s="109"/>
      <c r="O81" s="59"/>
      <c r="P81" s="59"/>
    </row>
    <row r="82" spans="13:16" x14ac:dyDescent="0.3">
      <c r="M82" s="109"/>
      <c r="O82" s="59"/>
      <c r="P82" s="59"/>
    </row>
    <row r="83" spans="13:16" x14ac:dyDescent="0.3">
      <c r="M83" s="109"/>
      <c r="O83" s="59"/>
      <c r="P83" s="59"/>
    </row>
    <row r="84" spans="13:16" x14ac:dyDescent="0.3">
      <c r="M84" s="109"/>
      <c r="O84" s="59"/>
      <c r="P84" s="59"/>
    </row>
    <row r="85" spans="13:16" x14ac:dyDescent="0.3">
      <c r="M85" s="109"/>
      <c r="O85" s="59"/>
      <c r="P85" s="59"/>
    </row>
  </sheetData>
  <mergeCells count="1">
    <mergeCell ref="B16:K16"/>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5"/>
  <sheetViews>
    <sheetView topLeftCell="A55" zoomScale="115" zoomScaleNormal="115" workbookViewId="0">
      <selection activeCell="E34" sqref="E34"/>
    </sheetView>
  </sheetViews>
  <sheetFormatPr defaultRowHeight="14.4" x14ac:dyDescent="0.3"/>
  <cols>
    <col min="1" max="1" width="3.5546875" customWidth="1"/>
    <col min="2" max="2" width="5" customWidth="1"/>
    <col min="3" max="3" width="12.5546875" customWidth="1"/>
    <col min="4" max="4" width="16" customWidth="1"/>
    <col min="5" max="5" width="13.6640625" customWidth="1"/>
    <col min="6" max="6" width="10.109375" customWidth="1"/>
    <col min="8" max="8" width="12.33203125" bestFit="1" customWidth="1"/>
    <col min="10" max="14" width="12.88671875" customWidth="1"/>
  </cols>
  <sheetData>
    <row r="2" spans="2:8" ht="23.4" x14ac:dyDescent="0.55000000000000004">
      <c r="B2" s="1" t="s">
        <v>104</v>
      </c>
    </row>
    <row r="3" spans="2:8" ht="23.4" x14ac:dyDescent="0.55000000000000004">
      <c r="B3" s="1"/>
    </row>
    <row r="4" spans="2:8" ht="23.4" x14ac:dyDescent="0.55000000000000004">
      <c r="B4" s="1"/>
    </row>
    <row r="5" spans="2:8" ht="23.4" x14ac:dyDescent="0.55000000000000004">
      <c r="B5" s="1"/>
    </row>
    <row r="6" spans="2:8" ht="23.4" x14ac:dyDescent="0.55000000000000004">
      <c r="B6" s="1"/>
    </row>
    <row r="7" spans="2:8" ht="23.4" x14ac:dyDescent="0.55000000000000004">
      <c r="B7" s="1"/>
    </row>
    <row r="10" spans="2:8" x14ac:dyDescent="0.35">
      <c r="H10" s="4"/>
    </row>
    <row r="11" spans="2:8" ht="15" x14ac:dyDescent="0.25">
      <c r="B11" s="45" t="s">
        <v>0</v>
      </c>
      <c r="C11" s="100" t="s">
        <v>229</v>
      </c>
    </row>
    <row r="12" spans="2:8" ht="15" x14ac:dyDescent="0.25">
      <c r="C12" s="100" t="s">
        <v>230</v>
      </c>
    </row>
    <row r="13" spans="2:8" ht="15" x14ac:dyDescent="0.25">
      <c r="C13" s="100" t="s">
        <v>231</v>
      </c>
    </row>
    <row r="14" spans="2:8" ht="15" x14ac:dyDescent="0.25">
      <c r="C14" s="100" t="s">
        <v>232</v>
      </c>
    </row>
    <row r="15" spans="2:8" ht="15" thickBot="1" x14ac:dyDescent="0.4"/>
    <row r="16" spans="2:8" ht="15" thickBot="1" x14ac:dyDescent="0.4">
      <c r="D16" s="67" t="s">
        <v>95</v>
      </c>
      <c r="E16" s="68" t="s">
        <v>3</v>
      </c>
      <c r="F16" s="65"/>
    </row>
    <row r="17" spans="4:10" x14ac:dyDescent="0.35">
      <c r="D17" s="69">
        <v>1</v>
      </c>
      <c r="E17" s="72">
        <v>0</v>
      </c>
      <c r="F17" s="65"/>
      <c r="H17" s="114"/>
    </row>
    <row r="18" spans="4:10" x14ac:dyDescent="0.3">
      <c r="D18" s="71">
        <v>2</v>
      </c>
      <c r="E18" s="72">
        <v>0</v>
      </c>
      <c r="F18" s="65"/>
      <c r="H18" s="114"/>
    </row>
    <row r="19" spans="4:10" x14ac:dyDescent="0.3">
      <c r="D19" s="71">
        <v>3</v>
      </c>
      <c r="E19" s="72">
        <v>0</v>
      </c>
      <c r="F19" s="65"/>
      <c r="H19" s="114"/>
    </row>
    <row r="20" spans="4:10" x14ac:dyDescent="0.3">
      <c r="D20" s="71">
        <v>4</v>
      </c>
      <c r="E20" s="72">
        <v>0</v>
      </c>
      <c r="H20" s="114"/>
    </row>
    <row r="21" spans="4:10" s="100" customFormat="1" ht="15" thickBot="1" x14ac:dyDescent="0.35">
      <c r="D21" s="71">
        <v>5</v>
      </c>
      <c r="E21" s="72">
        <v>0</v>
      </c>
      <c r="H21" s="114"/>
    </row>
    <row r="22" spans="4:10" s="100" customFormat="1" ht="15" thickBot="1" x14ac:dyDescent="0.35">
      <c r="D22" s="71">
        <v>6</v>
      </c>
      <c r="E22" s="70">
        <v>4250</v>
      </c>
      <c r="F22" s="65" t="s">
        <v>4</v>
      </c>
      <c r="H22" s="114"/>
    </row>
    <row r="23" spans="4:10" s="100" customFormat="1" x14ac:dyDescent="0.3">
      <c r="D23" s="71">
        <v>7</v>
      </c>
      <c r="E23" s="72">
        <f>E22</f>
        <v>4250</v>
      </c>
      <c r="H23" s="114"/>
    </row>
    <row r="24" spans="4:10" s="100" customFormat="1" x14ac:dyDescent="0.3">
      <c r="D24" s="71">
        <v>8</v>
      </c>
      <c r="E24" s="72">
        <f t="shared" ref="E24:E26" si="0">E23</f>
        <v>4250</v>
      </c>
      <c r="H24" s="114"/>
    </row>
    <row r="25" spans="4:10" s="100" customFormat="1" x14ac:dyDescent="0.3">
      <c r="D25" s="71">
        <v>9</v>
      </c>
      <c r="E25" s="72">
        <f t="shared" si="0"/>
        <v>4250</v>
      </c>
      <c r="H25" s="114"/>
    </row>
    <row r="26" spans="4:10" x14ac:dyDescent="0.3">
      <c r="D26" s="71">
        <v>10</v>
      </c>
      <c r="E26" s="72">
        <f t="shared" si="0"/>
        <v>4250</v>
      </c>
      <c r="F26" s="65"/>
      <c r="H26" s="114"/>
    </row>
    <row r="27" spans="4:10" x14ac:dyDescent="0.3">
      <c r="D27" s="71">
        <v>11</v>
      </c>
      <c r="E27" s="72">
        <f t="shared" ref="E27:E30" si="1">E26</f>
        <v>4250</v>
      </c>
      <c r="F27" s="65"/>
      <c r="H27" s="114"/>
    </row>
    <row r="28" spans="4:10" x14ac:dyDescent="0.3">
      <c r="D28" s="71">
        <v>12</v>
      </c>
      <c r="E28" s="72">
        <f t="shared" si="1"/>
        <v>4250</v>
      </c>
      <c r="F28" s="65"/>
      <c r="H28" s="114"/>
    </row>
    <row r="29" spans="4:10" x14ac:dyDescent="0.3">
      <c r="D29" s="71">
        <v>13</v>
      </c>
      <c r="E29" s="72">
        <f t="shared" si="1"/>
        <v>4250</v>
      </c>
      <c r="F29" s="65"/>
      <c r="H29" s="114"/>
      <c r="J29" s="50"/>
    </row>
    <row r="30" spans="4:10" ht="15" thickBot="1" x14ac:dyDescent="0.35">
      <c r="D30" s="73">
        <v>14</v>
      </c>
      <c r="E30" s="72">
        <f t="shared" si="1"/>
        <v>4250</v>
      </c>
      <c r="F30" s="65"/>
      <c r="H30" s="114"/>
    </row>
    <row r="31" spans="4:10" s="64" customFormat="1" ht="15" thickBot="1" x14ac:dyDescent="0.35">
      <c r="D31" s="66">
        <v>15</v>
      </c>
      <c r="E31" s="70">
        <v>3000</v>
      </c>
      <c r="F31" s="65" t="s">
        <v>4</v>
      </c>
      <c r="H31" s="114"/>
    </row>
    <row r="32" spans="4:10" x14ac:dyDescent="0.3">
      <c r="H32" s="114"/>
    </row>
    <row r="33" spans="2:9" x14ac:dyDescent="0.3">
      <c r="C33" t="s">
        <v>96</v>
      </c>
      <c r="E33" s="3">
        <v>0.08</v>
      </c>
      <c r="I33" s="4"/>
    </row>
    <row r="35" spans="2:9" x14ac:dyDescent="0.3">
      <c r="C35" t="s">
        <v>97</v>
      </c>
    </row>
    <row r="36" spans="2:9" x14ac:dyDescent="0.3">
      <c r="C36" t="s">
        <v>98</v>
      </c>
    </row>
    <row r="37" spans="2:9" x14ac:dyDescent="0.3">
      <c r="C37" s="74" t="s">
        <v>233</v>
      </c>
    </row>
    <row r="38" spans="2:9" ht="15" thickBot="1" x14ac:dyDescent="0.35"/>
    <row r="39" spans="2:9" ht="15" thickBot="1" x14ac:dyDescent="0.35">
      <c r="C39" t="s">
        <v>99</v>
      </c>
      <c r="D39" s="118">
        <f>PV(E33,5,0,PV(E33,10,E22,E31-E22))</f>
        <v>19014.71463489786</v>
      </c>
      <c r="E39" s="119"/>
    </row>
    <row r="41" spans="2:9" x14ac:dyDescent="0.3">
      <c r="B41" s="78" t="s">
        <v>1</v>
      </c>
      <c r="C41" s="75" t="s">
        <v>121</v>
      </c>
      <c r="D41" s="75"/>
      <c r="E41" s="75"/>
      <c r="F41" s="75"/>
      <c r="G41" s="75"/>
      <c r="H41" s="75"/>
    </row>
    <row r="42" spans="2:9" s="74" customFormat="1" x14ac:dyDescent="0.3">
      <c r="B42" s="75"/>
      <c r="C42" s="80" t="s">
        <v>122</v>
      </c>
      <c r="D42" s="75"/>
      <c r="E42" s="75"/>
      <c r="F42" s="75"/>
      <c r="G42" s="75"/>
      <c r="H42" s="75"/>
    </row>
    <row r="43" spans="2:9" s="74" customFormat="1" x14ac:dyDescent="0.3">
      <c r="B43" s="75"/>
      <c r="C43" s="80" t="s">
        <v>234</v>
      </c>
      <c r="D43" s="75"/>
      <c r="E43" s="75"/>
      <c r="F43" s="75"/>
      <c r="G43" s="75"/>
      <c r="H43" s="75"/>
    </row>
    <row r="44" spans="2:9" s="74" customFormat="1" ht="15" thickBot="1" x14ac:dyDescent="0.35">
      <c r="B44" s="75"/>
      <c r="C44" s="75"/>
      <c r="D44" s="75"/>
      <c r="E44" s="75"/>
      <c r="F44" s="75"/>
      <c r="G44" s="75"/>
      <c r="H44" s="75"/>
    </row>
    <row r="45" spans="2:9" s="74" customFormat="1" ht="15" thickBot="1" x14ac:dyDescent="0.35">
      <c r="B45" s="75"/>
      <c r="C45" s="81" t="s">
        <v>123</v>
      </c>
      <c r="D45" s="75"/>
      <c r="E45" s="75"/>
      <c r="F45" s="82">
        <v>9.5000000000000001E-2</v>
      </c>
      <c r="G45" s="75"/>
      <c r="H45" s="75"/>
    </row>
    <row r="46" spans="2:9" s="74" customFormat="1" ht="15" thickBot="1" x14ac:dyDescent="0.35">
      <c r="B46" s="75"/>
      <c r="C46" s="75"/>
      <c r="D46" s="75"/>
      <c r="E46" s="76"/>
      <c r="F46" s="76"/>
      <c r="G46" s="75"/>
      <c r="H46" s="75"/>
    </row>
    <row r="47" spans="2:9" s="74" customFormat="1" ht="50.25" customHeight="1" thickBot="1" x14ac:dyDescent="0.35">
      <c r="B47" s="75"/>
      <c r="C47" s="75"/>
      <c r="D47" s="75"/>
      <c r="E47" s="84" t="s">
        <v>124</v>
      </c>
      <c r="F47" s="84" t="s">
        <v>125</v>
      </c>
      <c r="G47" s="75"/>
      <c r="H47" s="75"/>
    </row>
    <row r="48" spans="2:9" s="74" customFormat="1" x14ac:dyDescent="0.3">
      <c r="B48" s="75"/>
      <c r="C48" s="75"/>
      <c r="D48" s="75"/>
      <c r="E48" s="77" t="s">
        <v>83</v>
      </c>
      <c r="F48" s="83">
        <f>FV(F45/4,4,0,-1)-1</f>
        <v>9.8438279104003712E-2</v>
      </c>
      <c r="G48" s="75"/>
      <c r="H48" s="75"/>
    </row>
    <row r="49" spans="2:13" s="74" customFormat="1" x14ac:dyDescent="0.3">
      <c r="B49" s="75"/>
      <c r="C49" s="75"/>
      <c r="D49" s="75"/>
      <c r="E49" s="77" t="s">
        <v>84</v>
      </c>
      <c r="F49" s="83">
        <f>FV(F45/12,12,0,-1)-1</f>
        <v>9.9247584081007423E-2</v>
      </c>
      <c r="G49" s="75"/>
      <c r="H49" s="75"/>
    </row>
    <row r="50" spans="2:13" s="74" customFormat="1" ht="15" thickBot="1" x14ac:dyDescent="0.35">
      <c r="B50" s="75"/>
      <c r="C50" s="75"/>
      <c r="D50" s="75"/>
      <c r="E50" s="77" t="s">
        <v>126</v>
      </c>
      <c r="F50" s="83">
        <f>FV(F45/365,365,0,-1)-1</f>
        <v>9.9645262471149909E-2</v>
      </c>
      <c r="G50" s="75"/>
      <c r="H50" s="75"/>
    </row>
    <row r="51" spans="2:13" s="74" customFormat="1" ht="15" thickBot="1" x14ac:dyDescent="0.35">
      <c r="B51" s="75"/>
      <c r="C51" s="75"/>
      <c r="D51" s="75"/>
      <c r="E51" s="85" t="s">
        <v>127</v>
      </c>
      <c r="F51" s="79">
        <f>EXP(F45)-1</f>
        <v>9.9658855126102841E-2</v>
      </c>
      <c r="G51" s="75"/>
      <c r="H51" s="75"/>
    </row>
    <row r="52" spans="2:13" s="74" customFormat="1" x14ac:dyDescent="0.3"/>
    <row r="53" spans="2:13" s="74" customFormat="1" x14ac:dyDescent="0.3"/>
    <row r="54" spans="2:13" x14ac:dyDescent="0.3">
      <c r="B54" s="61" t="s">
        <v>5</v>
      </c>
      <c r="C54" t="s">
        <v>80</v>
      </c>
    </row>
    <row r="55" spans="2:13" s="100" customFormat="1" x14ac:dyDescent="0.3">
      <c r="B55" s="86"/>
    </row>
    <row r="56" spans="2:13" s="100" customFormat="1" x14ac:dyDescent="0.3">
      <c r="B56" s="86"/>
    </row>
    <row r="57" spans="2:13" s="100" customFormat="1" x14ac:dyDescent="0.3">
      <c r="B57" s="86"/>
    </row>
    <row r="58" spans="2:13" s="100" customFormat="1" x14ac:dyDescent="0.3">
      <c r="B58" s="86"/>
    </row>
    <row r="59" spans="2:13" s="100" customFormat="1" x14ac:dyDescent="0.3">
      <c r="B59" s="86"/>
    </row>
    <row r="60" spans="2:13" s="100" customFormat="1" x14ac:dyDescent="0.3">
      <c r="B60" s="86"/>
    </row>
    <row r="61" spans="2:13" x14ac:dyDescent="0.3">
      <c r="C61" s="100" t="s">
        <v>235</v>
      </c>
      <c r="L61" s="115"/>
      <c r="M61" s="59"/>
    </row>
    <row r="62" spans="2:13" x14ac:dyDescent="0.3">
      <c r="C62" s="100" t="s">
        <v>236</v>
      </c>
      <c r="L62" s="115"/>
      <c r="M62" s="59"/>
    </row>
    <row r="63" spans="2:13" x14ac:dyDescent="0.3">
      <c r="C63" s="100" t="s">
        <v>81</v>
      </c>
      <c r="K63" s="100"/>
      <c r="L63" s="115"/>
      <c r="M63" s="59"/>
    </row>
    <row r="64" spans="2:13" x14ac:dyDescent="0.3">
      <c r="C64" s="100" t="s">
        <v>90</v>
      </c>
      <c r="K64" s="100"/>
      <c r="L64" s="115"/>
      <c r="M64" s="59"/>
    </row>
    <row r="65" spans="2:13" x14ac:dyDescent="0.3">
      <c r="C65" s="100" t="s">
        <v>237</v>
      </c>
      <c r="K65" s="100"/>
      <c r="L65" s="115"/>
      <c r="M65" s="59"/>
    </row>
    <row r="66" spans="2:13" s="87" customFormat="1" x14ac:dyDescent="0.3">
      <c r="C66" s="89"/>
      <c r="K66" s="100"/>
      <c r="L66" s="115"/>
      <c r="M66" s="59"/>
    </row>
    <row r="67" spans="2:13" s="87" customFormat="1" x14ac:dyDescent="0.3">
      <c r="C67" s="88"/>
      <c r="K67" s="100"/>
      <c r="L67" s="115"/>
      <c r="M67" s="59"/>
    </row>
    <row r="68" spans="2:13" x14ac:dyDescent="0.3">
      <c r="K68" s="100"/>
      <c r="L68" s="115"/>
      <c r="M68" s="59"/>
    </row>
    <row r="69" spans="2:13" x14ac:dyDescent="0.3">
      <c r="C69" t="s">
        <v>238</v>
      </c>
      <c r="E69" s="4">
        <f>PV(0.1,3,-500,0,1)</f>
        <v>1367.7685950413238</v>
      </c>
      <c r="K69" s="100"/>
      <c r="L69" s="115"/>
      <c r="M69" s="59"/>
    </row>
    <row r="70" spans="2:13" x14ac:dyDescent="0.3">
      <c r="C70" t="s">
        <v>239</v>
      </c>
      <c r="E70" s="4">
        <f>PV(0.1,6,0,PV(0.1,4,500,-100))</f>
        <v>856.09887417827531</v>
      </c>
      <c r="K70" s="100"/>
      <c r="L70" s="115"/>
      <c r="M70" s="59"/>
    </row>
    <row r="71" spans="2:13" x14ac:dyDescent="0.3">
      <c r="C71" t="s">
        <v>100</v>
      </c>
      <c r="E71" s="4">
        <f>E69+E70</f>
        <v>2223.8674692195991</v>
      </c>
      <c r="K71" s="100"/>
      <c r="L71" s="115"/>
      <c r="M71" s="59"/>
    </row>
    <row r="72" spans="2:13" x14ac:dyDescent="0.3">
      <c r="C72" t="s">
        <v>101</v>
      </c>
      <c r="E72" s="4">
        <f>5000-E71</f>
        <v>2776.1325307804009</v>
      </c>
    </row>
    <row r="73" spans="2:13" x14ac:dyDescent="0.3">
      <c r="C73" t="s">
        <v>128</v>
      </c>
      <c r="E73" s="4">
        <f>FV(0.1,2,0,-E72)</f>
        <v>3359.1203622442854</v>
      </c>
      <c r="M73" s="59"/>
    </row>
    <row r="74" spans="2:13" x14ac:dyDescent="0.3">
      <c r="C74" t="s">
        <v>102</v>
      </c>
      <c r="E74" s="4">
        <f>PMT(0.1,4,-E73)</f>
        <v>1059.7044004227232</v>
      </c>
      <c r="H74" s="100"/>
    </row>
    <row r="75" spans="2:13" x14ac:dyDescent="0.3">
      <c r="F75" s="45"/>
    </row>
    <row r="76" spans="2:13" s="100" customFormat="1" x14ac:dyDescent="0.3">
      <c r="B76" s="86" t="s">
        <v>6</v>
      </c>
      <c r="C76" s="100" t="s">
        <v>80</v>
      </c>
    </row>
    <row r="77" spans="2:13" s="100" customFormat="1" x14ac:dyDescent="0.3">
      <c r="B77" s="86"/>
    </row>
    <row r="78" spans="2:13" s="100" customFormat="1" x14ac:dyDescent="0.3">
      <c r="B78" s="86"/>
    </row>
    <row r="79" spans="2:13" s="100" customFormat="1" x14ac:dyDescent="0.3">
      <c r="B79" s="86"/>
    </row>
    <row r="80" spans="2:13" s="100" customFormat="1" x14ac:dyDescent="0.3">
      <c r="B80" s="86"/>
    </row>
    <row r="81" spans="2:14" s="100" customFormat="1" x14ac:dyDescent="0.3">
      <c r="B81" s="86"/>
    </row>
    <row r="82" spans="2:14" s="100" customFormat="1" x14ac:dyDescent="0.3">
      <c r="B82" s="86"/>
    </row>
    <row r="83" spans="2:14" s="100" customFormat="1" x14ac:dyDescent="0.3">
      <c r="C83" s="100" t="s">
        <v>240</v>
      </c>
      <c r="L83" s="115"/>
      <c r="M83" s="59"/>
    </row>
    <row r="84" spans="2:14" s="100" customFormat="1" x14ac:dyDescent="0.3">
      <c r="C84" s="100" t="s">
        <v>241</v>
      </c>
      <c r="L84" s="115"/>
      <c r="M84" s="59"/>
    </row>
    <row r="85" spans="2:14" s="100" customFormat="1" x14ac:dyDescent="0.3">
      <c r="C85" s="100" t="s">
        <v>242</v>
      </c>
      <c r="L85" s="115"/>
      <c r="M85" s="59"/>
    </row>
    <row r="86" spans="2:14" s="100" customFormat="1" x14ac:dyDescent="0.3">
      <c r="C86" s="100" t="s">
        <v>243</v>
      </c>
      <c r="L86" s="115"/>
      <c r="M86" s="59"/>
    </row>
    <row r="87" spans="2:14" s="100" customFormat="1" x14ac:dyDescent="0.3">
      <c r="L87" s="115"/>
      <c r="M87" s="59"/>
    </row>
    <row r="88" spans="2:14" s="100" customFormat="1" x14ac:dyDescent="0.3">
      <c r="C88" s="100" t="s">
        <v>244</v>
      </c>
      <c r="E88" s="59">
        <f>-FV(0.1,8,500,0)</f>
        <v>5717.9440500000055</v>
      </c>
      <c r="L88" s="115"/>
      <c r="M88" s="59"/>
    </row>
    <row r="89" spans="2:14" s="100" customFormat="1" x14ac:dyDescent="0.3">
      <c r="C89" s="100" t="s">
        <v>245</v>
      </c>
      <c r="E89" s="59">
        <f>-FV(0.1,3,0,E88)</f>
        <v>7610.5835305500095</v>
      </c>
      <c r="L89" s="115"/>
      <c r="M89" s="59"/>
    </row>
    <row r="90" spans="2:14" s="100" customFormat="1" x14ac:dyDescent="0.3">
      <c r="E90" s="59"/>
      <c r="L90" s="115"/>
      <c r="M90" s="59"/>
    </row>
    <row r="91" spans="2:14" s="100" customFormat="1" x14ac:dyDescent="0.3">
      <c r="E91" s="59"/>
      <c r="L91" s="115"/>
      <c r="M91" s="59"/>
    </row>
    <row r="92" spans="2:14" s="100" customFormat="1" x14ac:dyDescent="0.3">
      <c r="F92" s="86"/>
    </row>
    <row r="93" spans="2:14" x14ac:dyDescent="0.3">
      <c r="B93" s="86" t="s">
        <v>136</v>
      </c>
      <c r="C93" t="s">
        <v>20</v>
      </c>
    </row>
    <row r="94" spans="2:14" ht="21.75" customHeight="1" x14ac:dyDescent="0.6">
      <c r="C94" t="s">
        <v>246</v>
      </c>
      <c r="I94" s="18" t="s">
        <v>2</v>
      </c>
      <c r="J94" s="18" t="s">
        <v>17</v>
      </c>
      <c r="K94" s="18" t="s">
        <v>18</v>
      </c>
      <c r="L94" s="18" t="s">
        <v>29</v>
      </c>
      <c r="M94" s="18" t="s">
        <v>19</v>
      </c>
      <c r="N94" s="18"/>
    </row>
    <row r="95" spans="2:14" x14ac:dyDescent="0.3">
      <c r="C95" t="s">
        <v>103</v>
      </c>
      <c r="I95" s="17">
        <v>1</v>
      </c>
      <c r="J95">
        <v>2500</v>
      </c>
      <c r="K95">
        <v>1800</v>
      </c>
      <c r="L95">
        <v>300</v>
      </c>
      <c r="M95">
        <v>125</v>
      </c>
    </row>
    <row r="96" spans="2:14" ht="15" thickBot="1" x14ac:dyDescent="0.35">
      <c r="I96" s="17">
        <v>2</v>
      </c>
      <c r="J96">
        <v>3000</v>
      </c>
      <c r="K96">
        <v>2200</v>
      </c>
      <c r="L96">
        <v>315</v>
      </c>
      <c r="M96">
        <v>150</v>
      </c>
    </row>
    <row r="97" spans="2:13" ht="15" thickBot="1" x14ac:dyDescent="0.35">
      <c r="C97" s="7" t="s">
        <v>21</v>
      </c>
      <c r="E97" s="19">
        <v>5</v>
      </c>
      <c r="I97" s="17">
        <v>3</v>
      </c>
      <c r="J97">
        <v>3250</v>
      </c>
      <c r="K97">
        <v>2400</v>
      </c>
      <c r="L97">
        <v>325</v>
      </c>
      <c r="M97">
        <v>162</v>
      </c>
    </row>
    <row r="98" spans="2:13" ht="15" thickBot="1" x14ac:dyDescent="0.35">
      <c r="C98" s="16"/>
      <c r="I98" s="17">
        <v>4</v>
      </c>
      <c r="J98">
        <v>4000</v>
      </c>
      <c r="K98">
        <v>3100</v>
      </c>
      <c r="L98">
        <v>400</v>
      </c>
      <c r="M98">
        <v>200</v>
      </c>
    </row>
    <row r="99" spans="2:13" ht="15" thickBot="1" x14ac:dyDescent="0.35">
      <c r="C99" s="7" t="s">
        <v>18</v>
      </c>
      <c r="E99" s="20">
        <f>VLOOKUP(E97,I95:M104,3)</f>
        <v>3300</v>
      </c>
      <c r="I99" s="17">
        <v>5</v>
      </c>
      <c r="J99">
        <v>4500</v>
      </c>
      <c r="K99">
        <v>3300</v>
      </c>
      <c r="L99">
        <v>430</v>
      </c>
      <c r="M99">
        <v>225</v>
      </c>
    </row>
    <row r="100" spans="2:13" x14ac:dyDescent="0.3">
      <c r="I100" s="17">
        <v>6</v>
      </c>
      <c r="J100">
        <v>5200</v>
      </c>
      <c r="K100">
        <v>3900</v>
      </c>
      <c r="L100">
        <v>450</v>
      </c>
      <c r="M100">
        <v>260</v>
      </c>
    </row>
    <row r="101" spans="2:13" x14ac:dyDescent="0.3">
      <c r="I101" s="17">
        <v>7</v>
      </c>
      <c r="J101">
        <v>5900</v>
      </c>
      <c r="K101">
        <v>4400</v>
      </c>
      <c r="L101">
        <v>500</v>
      </c>
      <c r="M101">
        <v>295</v>
      </c>
    </row>
    <row r="102" spans="2:13" x14ac:dyDescent="0.3">
      <c r="I102" s="17">
        <v>8</v>
      </c>
      <c r="J102">
        <v>6500</v>
      </c>
      <c r="K102">
        <v>4800</v>
      </c>
      <c r="L102">
        <v>550</v>
      </c>
      <c r="M102">
        <v>325</v>
      </c>
    </row>
    <row r="103" spans="2:13" x14ac:dyDescent="0.3">
      <c r="I103" s="17">
        <v>9</v>
      </c>
      <c r="J103">
        <v>8000</v>
      </c>
      <c r="K103">
        <v>6000</v>
      </c>
      <c r="L103">
        <v>590</v>
      </c>
      <c r="M103">
        <v>400</v>
      </c>
    </row>
    <row r="104" spans="2:13" x14ac:dyDescent="0.3">
      <c r="I104" s="17">
        <v>10</v>
      </c>
      <c r="J104">
        <v>9250</v>
      </c>
      <c r="K104">
        <v>6900</v>
      </c>
      <c r="L104">
        <v>700</v>
      </c>
      <c r="M104">
        <v>475</v>
      </c>
    </row>
    <row r="106" spans="2:13" x14ac:dyDescent="0.3">
      <c r="B106" s="86" t="s">
        <v>137</v>
      </c>
      <c r="C106" t="s">
        <v>16</v>
      </c>
    </row>
    <row r="107" spans="2:13" x14ac:dyDescent="0.3">
      <c r="C107" t="s">
        <v>247</v>
      </c>
    </row>
    <row r="108" spans="2:13" ht="15" thickBot="1" x14ac:dyDescent="0.35"/>
    <row r="109" spans="2:13" ht="15" thickBot="1" x14ac:dyDescent="0.35">
      <c r="C109" s="90" t="s">
        <v>2</v>
      </c>
      <c r="D109" s="91" t="s">
        <v>17</v>
      </c>
    </row>
    <row r="110" spans="2:13" x14ac:dyDescent="0.3">
      <c r="C110" s="92">
        <v>2007</v>
      </c>
      <c r="D110" s="96">
        <v>2415000</v>
      </c>
    </row>
    <row r="111" spans="2:13" x14ac:dyDescent="0.3">
      <c r="C111" s="92">
        <v>2008</v>
      </c>
      <c r="D111" s="96">
        <v>2134560</v>
      </c>
    </row>
    <row r="112" spans="2:13" x14ac:dyDescent="0.3">
      <c r="C112" s="92">
        <v>2009</v>
      </c>
      <c r="D112" s="96">
        <v>1955000</v>
      </c>
    </row>
    <row r="113" spans="3:4" x14ac:dyDescent="0.3">
      <c r="C113" s="92">
        <v>2010</v>
      </c>
      <c r="D113" s="96">
        <v>2010500</v>
      </c>
    </row>
    <row r="114" spans="3:4" x14ac:dyDescent="0.3">
      <c r="C114" s="92">
        <v>2011</v>
      </c>
      <c r="D114" s="96">
        <v>1870000</v>
      </c>
    </row>
    <row r="115" spans="3:4" ht="15" thickBot="1" x14ac:dyDescent="0.35">
      <c r="C115" s="93">
        <v>2012</v>
      </c>
      <c r="D115" s="94">
        <f>TREND(D110:D114,C110:C114,C115)</f>
        <v>1712794</v>
      </c>
    </row>
  </sheetData>
  <mergeCells count="1">
    <mergeCell ref="D39:E39"/>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15" zoomScaleNormal="115" workbookViewId="0">
      <selection activeCell="J23" sqref="J23:K23"/>
    </sheetView>
  </sheetViews>
  <sheetFormatPr defaultColWidth="8.6640625" defaultRowHeight="14.4" x14ac:dyDescent="0.3"/>
  <cols>
    <col min="1" max="1" width="6.109375" style="22" customWidth="1"/>
    <col min="2" max="2" width="4" style="21" customWidth="1"/>
    <col min="3" max="3" width="30.6640625" style="21" customWidth="1"/>
    <col min="4" max="4" width="17" style="22" customWidth="1"/>
    <col min="5" max="6" width="14.5546875" style="22" customWidth="1"/>
    <col min="7" max="7" width="4.109375" style="22" customWidth="1"/>
    <col min="8" max="16384" width="8.6640625" style="22"/>
  </cols>
  <sheetData>
    <row r="24" spans="3:6" ht="15" thickBot="1" x14ac:dyDescent="0.35"/>
    <row r="25" spans="3:6" ht="19.5" customHeight="1" thickBot="1" x14ac:dyDescent="0.35">
      <c r="C25" s="121" t="s">
        <v>62</v>
      </c>
      <c r="D25" s="122"/>
      <c r="E25" s="122"/>
      <c r="F25" s="122"/>
    </row>
    <row r="26" spans="3:6" ht="18" customHeight="1" x14ac:dyDescent="0.3">
      <c r="C26" s="38" t="s">
        <v>248</v>
      </c>
      <c r="F26" s="42">
        <v>0.08</v>
      </c>
    </row>
    <row r="27" spans="3:6" ht="15" customHeight="1" x14ac:dyDescent="0.3">
      <c r="C27" s="38" t="s">
        <v>61</v>
      </c>
      <c r="F27" s="42">
        <v>4.4999999999999998E-2</v>
      </c>
    </row>
    <row r="28" spans="3:6" ht="15" customHeight="1" x14ac:dyDescent="0.3">
      <c r="C28" s="38" t="s">
        <v>60</v>
      </c>
      <c r="F28" s="42">
        <v>6.5000000000000002E-2</v>
      </c>
    </row>
    <row r="29" spans="3:6" ht="15" customHeight="1" x14ac:dyDescent="0.3">
      <c r="C29" s="38" t="s">
        <v>249</v>
      </c>
      <c r="F29" s="41">
        <v>0.35</v>
      </c>
    </row>
    <row r="30" spans="3:6" ht="15" customHeight="1" x14ac:dyDescent="0.3">
      <c r="C30" s="38" t="s">
        <v>250</v>
      </c>
      <c r="F30" s="37">
        <v>40000</v>
      </c>
    </row>
    <row r="31" spans="3:6" ht="15" customHeight="1" x14ac:dyDescent="0.3">
      <c r="C31" s="38" t="s">
        <v>251</v>
      </c>
      <c r="F31" s="37">
        <v>65000</v>
      </c>
    </row>
    <row r="32" spans="3:6" ht="15" customHeight="1" x14ac:dyDescent="0.3">
      <c r="C32" s="38" t="s">
        <v>252</v>
      </c>
      <c r="F32" s="37">
        <v>12500</v>
      </c>
    </row>
    <row r="33" spans="3:12" ht="7.5" customHeight="1" thickBot="1" x14ac:dyDescent="0.35">
      <c r="C33" s="39"/>
      <c r="D33" s="26"/>
      <c r="E33" s="26"/>
      <c r="F33" s="40"/>
    </row>
    <row r="34" spans="3:12" x14ac:dyDescent="0.3">
      <c r="C34" s="38"/>
      <c r="F34" s="37"/>
    </row>
    <row r="35" spans="3:12" ht="21.6" thickBot="1" x14ac:dyDescent="0.45">
      <c r="C35" s="120" t="s">
        <v>22</v>
      </c>
      <c r="D35" s="120"/>
      <c r="E35" s="120"/>
      <c r="F35" s="120"/>
    </row>
    <row r="36" spans="3:12" ht="19.5" customHeight="1" thickBot="1" x14ac:dyDescent="0.35">
      <c r="C36" s="32"/>
      <c r="D36" s="108" t="s">
        <v>23</v>
      </c>
      <c r="E36" s="108" t="s">
        <v>105</v>
      </c>
      <c r="F36" s="108" t="s">
        <v>253</v>
      </c>
    </row>
    <row r="37" spans="3:12" ht="17.25" customHeight="1" x14ac:dyDescent="0.3">
      <c r="C37" s="33" t="s">
        <v>17</v>
      </c>
      <c r="D37" s="22">
        <v>3514000</v>
      </c>
      <c r="E37" s="22">
        <v>3795120.0000000005</v>
      </c>
      <c r="F37" s="47">
        <f>E37*(1+F26)</f>
        <v>4098729.6000000006</v>
      </c>
    </row>
    <row r="38" spans="3:12" ht="21" customHeight="1" x14ac:dyDescent="0.55000000000000004">
      <c r="C38" s="36" t="s">
        <v>24</v>
      </c>
      <c r="D38" s="24">
        <v>2284100</v>
      </c>
      <c r="E38" s="24">
        <v>2656584</v>
      </c>
      <c r="F38" s="24">
        <f>$F$37*J38*1.1</f>
        <v>3043306.7280000006</v>
      </c>
      <c r="H38" s="53">
        <f>D38/D$37</f>
        <v>0.65</v>
      </c>
      <c r="I38" s="53">
        <f>E38/E$37</f>
        <v>0.7</v>
      </c>
      <c r="J38" s="55">
        <f>AVERAGE(H38:I38)</f>
        <v>0.67500000000000004</v>
      </c>
      <c r="L38"/>
    </row>
    <row r="39" spans="3:12" x14ac:dyDescent="0.3">
      <c r="C39" s="34" t="s">
        <v>25</v>
      </c>
      <c r="D39" s="22">
        <f>D37-D38</f>
        <v>1229900</v>
      </c>
      <c r="E39" s="22">
        <f>E37-E38</f>
        <v>1138536.0000000005</v>
      </c>
      <c r="F39" s="22">
        <f>F37-F38</f>
        <v>1055422.872</v>
      </c>
    </row>
    <row r="40" spans="3:12" x14ac:dyDescent="0.3">
      <c r="C40" s="33" t="s">
        <v>26</v>
      </c>
      <c r="D40" s="22">
        <v>350000</v>
      </c>
      <c r="E40" s="22">
        <v>325000</v>
      </c>
      <c r="F40" s="22">
        <f>$F$37*J40</f>
        <v>379620</v>
      </c>
      <c r="G40" s="25"/>
      <c r="H40" s="53">
        <f>D40/D$37</f>
        <v>9.9601593625498003E-2</v>
      </c>
      <c r="I40" s="53">
        <f>E40/E$37</f>
        <v>8.5636290815573668E-2</v>
      </c>
      <c r="J40" s="55">
        <f>AVERAGE(H40:I40)</f>
        <v>9.2618942220535835E-2</v>
      </c>
    </row>
    <row r="41" spans="3:12" x14ac:dyDescent="0.3">
      <c r="C41" s="33" t="s">
        <v>27</v>
      </c>
      <c r="D41" s="22">
        <v>120000</v>
      </c>
      <c r="E41" s="22">
        <v>125000</v>
      </c>
      <c r="F41" s="63">
        <v>120000</v>
      </c>
    </row>
    <row r="42" spans="3:12" ht="17.399999999999999" x14ac:dyDescent="0.55000000000000004">
      <c r="C42" s="36" t="s">
        <v>28</v>
      </c>
      <c r="D42" s="24">
        <v>30000</v>
      </c>
      <c r="E42" s="24">
        <v>32500</v>
      </c>
      <c r="F42" s="24">
        <f>E42+F32</f>
        <v>45000</v>
      </c>
    </row>
    <row r="43" spans="3:12" x14ac:dyDescent="0.3">
      <c r="C43" s="34" t="s">
        <v>29</v>
      </c>
      <c r="D43" s="22">
        <f>D39-D40-D41-D42</f>
        <v>729900</v>
      </c>
      <c r="E43" s="22">
        <f>E39-E40-E41-E42</f>
        <v>656036.00000000047</v>
      </c>
      <c r="F43" s="22">
        <f>F39-F40-F41-F42</f>
        <v>510802.87199999997</v>
      </c>
    </row>
    <row r="44" spans="3:12" ht="17.399999999999999" x14ac:dyDescent="0.55000000000000004">
      <c r="C44" s="36" t="s">
        <v>30</v>
      </c>
      <c r="D44" s="24">
        <v>56000</v>
      </c>
      <c r="E44" s="24">
        <v>62900</v>
      </c>
      <c r="F44" s="24">
        <f>F27*E61+F28*E64</f>
        <v>41950</v>
      </c>
    </row>
    <row r="45" spans="3:12" x14ac:dyDescent="0.3">
      <c r="C45" s="34" t="s">
        <v>31</v>
      </c>
      <c r="D45" s="22">
        <f>D43-D44</f>
        <v>673900</v>
      </c>
      <c r="E45" s="22">
        <f>E43-E44</f>
        <v>593136.00000000047</v>
      </c>
      <c r="F45" s="22">
        <f>F43-F44</f>
        <v>468852.87199999997</v>
      </c>
    </row>
    <row r="46" spans="3:12" ht="17.399999999999999" x14ac:dyDescent="0.55000000000000004">
      <c r="C46" s="36" t="s">
        <v>32</v>
      </c>
      <c r="D46" s="24">
        <v>235800</v>
      </c>
      <c r="E46" s="24">
        <v>207600</v>
      </c>
      <c r="F46" s="24">
        <f>F45*F29</f>
        <v>164098.50519999999</v>
      </c>
    </row>
    <row r="47" spans="3:12" ht="15" thickBot="1" x14ac:dyDescent="0.35">
      <c r="C47" s="35" t="s">
        <v>19</v>
      </c>
      <c r="D47" s="26">
        <f>D45-D46</f>
        <v>438100</v>
      </c>
      <c r="E47" s="26">
        <f>E45-E46</f>
        <v>385536.00000000047</v>
      </c>
      <c r="F47" s="26">
        <f>F45-F46</f>
        <v>304754.36679999996</v>
      </c>
    </row>
    <row r="48" spans="3:12" ht="7.5" customHeight="1" x14ac:dyDescent="0.3">
      <c r="C48" s="16"/>
      <c r="D48"/>
      <c r="E48"/>
      <c r="F48"/>
    </row>
    <row r="49" spans="2:10" ht="21.6" thickBot="1" x14ac:dyDescent="0.45">
      <c r="B49" s="120" t="s">
        <v>33</v>
      </c>
      <c r="C49" s="120"/>
      <c r="D49" s="120"/>
      <c r="E49" s="120"/>
      <c r="F49" s="120"/>
    </row>
    <row r="50" spans="2:10" ht="15" thickBot="1" x14ac:dyDescent="0.35">
      <c r="B50" s="27" t="s">
        <v>34</v>
      </c>
      <c r="C50" s="27"/>
      <c r="D50" s="108" t="s">
        <v>23</v>
      </c>
      <c r="E50" s="108" t="s">
        <v>105</v>
      </c>
      <c r="F50" s="108" t="s">
        <v>253</v>
      </c>
    </row>
    <row r="51" spans="2:10" x14ac:dyDescent="0.3">
      <c r="B51" s="28" t="s">
        <v>35</v>
      </c>
      <c r="D51" s="22">
        <v>52000</v>
      </c>
      <c r="E51" s="22">
        <v>98036.000000000466</v>
      </c>
      <c r="F51" s="63">
        <v>98036</v>
      </c>
    </row>
    <row r="52" spans="2:10" x14ac:dyDescent="0.3">
      <c r="B52" s="28" t="s">
        <v>36</v>
      </c>
      <c r="D52" s="22">
        <v>406000</v>
      </c>
      <c r="E52" s="22">
        <v>520000</v>
      </c>
      <c r="F52" s="22">
        <f>$F$37*J52</f>
        <v>517579.20000000007</v>
      </c>
      <c r="H52" s="53">
        <f>D52/D$37</f>
        <v>0.11553784860557768</v>
      </c>
      <c r="I52" s="53">
        <f>E52/E$37</f>
        <v>0.13701806530491789</v>
      </c>
      <c r="J52" s="55">
        <f>AVERAGE(H52:I52)</f>
        <v>0.12627795695524779</v>
      </c>
    </row>
    <row r="53" spans="2:10" ht="16.2" x14ac:dyDescent="0.45">
      <c r="B53" s="28" t="s">
        <v>37</v>
      </c>
      <c r="D53" s="24">
        <v>854000</v>
      </c>
      <c r="E53" s="24">
        <v>875000</v>
      </c>
      <c r="F53" s="95">
        <f>$F$37*J53</f>
        <v>970552.8</v>
      </c>
      <c r="H53" s="53">
        <f>D53/D$37</f>
        <v>0.24302788844621515</v>
      </c>
      <c r="I53" s="53">
        <f>E53/E$37</f>
        <v>0.23055924450346757</v>
      </c>
      <c r="J53" s="55">
        <f>AVERAGE(H53:I53)</f>
        <v>0.23679356647484134</v>
      </c>
    </row>
    <row r="54" spans="2:10" x14ac:dyDescent="0.3">
      <c r="B54" s="29" t="s">
        <v>38</v>
      </c>
      <c r="D54" s="22">
        <f>D51+D52+D53</f>
        <v>1312000</v>
      </c>
      <c r="E54" s="22">
        <f>E51+E52+E53</f>
        <v>1493036.0000000005</v>
      </c>
      <c r="F54" s="22">
        <f>SUM(F51:F53)</f>
        <v>1586168</v>
      </c>
    </row>
    <row r="55" spans="2:10" x14ac:dyDescent="0.3">
      <c r="B55" s="28" t="s">
        <v>39</v>
      </c>
      <c r="D55" s="22">
        <v>429000</v>
      </c>
      <c r="E55" s="22">
        <v>580000</v>
      </c>
      <c r="F55" s="22">
        <f>E55+F31</f>
        <v>645000</v>
      </c>
    </row>
    <row r="56" spans="2:10" ht="16.2" x14ac:dyDescent="0.45">
      <c r="B56" s="28" t="s">
        <v>40</v>
      </c>
      <c r="D56" s="24">
        <v>126000</v>
      </c>
      <c r="E56" s="24">
        <v>158500</v>
      </c>
      <c r="F56" s="24">
        <f>E56+F42</f>
        <v>203500</v>
      </c>
    </row>
    <row r="57" spans="2:10" ht="16.2" x14ac:dyDescent="0.45">
      <c r="B57" s="29" t="s">
        <v>41</v>
      </c>
      <c r="D57" s="24">
        <f>D55-D56</f>
        <v>303000</v>
      </c>
      <c r="E57" s="24">
        <f>E55-E56</f>
        <v>421500</v>
      </c>
      <c r="F57" s="24">
        <f>F55-F56</f>
        <v>441500</v>
      </c>
    </row>
    <row r="58" spans="2:10" ht="15" thickBot="1" x14ac:dyDescent="0.35">
      <c r="B58" s="29" t="s">
        <v>42</v>
      </c>
      <c r="D58" s="22">
        <f>D54+D57</f>
        <v>1615000</v>
      </c>
      <c r="E58" s="22">
        <f>E54+E57</f>
        <v>1914536.0000000005</v>
      </c>
      <c r="F58" s="22">
        <f>F54+F57</f>
        <v>2027668</v>
      </c>
    </row>
    <row r="59" spans="2:10" ht="15.9" customHeight="1" x14ac:dyDescent="0.3">
      <c r="B59" s="27" t="s">
        <v>43</v>
      </c>
      <c r="C59" s="27"/>
      <c r="D59" s="23"/>
      <c r="E59" s="23"/>
      <c r="F59" s="23"/>
    </row>
    <row r="60" spans="2:10" x14ac:dyDescent="0.3">
      <c r="B60" s="28" t="s">
        <v>44</v>
      </c>
      <c r="D60" s="22">
        <v>130000</v>
      </c>
      <c r="E60" s="22">
        <v>180000</v>
      </c>
      <c r="F60" s="22">
        <f>$F$37*J60</f>
        <v>173016</v>
      </c>
      <c r="H60" s="53">
        <f>D60/D$37</f>
        <v>3.6994877632327831E-2</v>
      </c>
      <c r="I60" s="53">
        <f>E60/E$37</f>
        <v>4.742933029785619E-2</v>
      </c>
      <c r="J60" s="55">
        <f>AVERAGE(H60:I60)</f>
        <v>4.2212103965092007E-2</v>
      </c>
    </row>
    <row r="61" spans="2:10" x14ac:dyDescent="0.3">
      <c r="B61" s="28" t="s">
        <v>45</v>
      </c>
      <c r="D61" s="22">
        <v>179000</v>
      </c>
      <c r="E61" s="22">
        <v>210000</v>
      </c>
      <c r="F61" s="63">
        <v>210000</v>
      </c>
    </row>
    <row r="62" spans="2:10" ht="16.2" x14ac:dyDescent="0.45">
      <c r="B62" s="28" t="s">
        <v>46</v>
      </c>
      <c r="D62" s="24">
        <v>118000</v>
      </c>
      <c r="E62" s="24">
        <v>85000</v>
      </c>
      <c r="F62" s="57">
        <v>62500</v>
      </c>
    </row>
    <row r="63" spans="2:10" x14ac:dyDescent="0.3">
      <c r="B63" s="29" t="s">
        <v>47</v>
      </c>
      <c r="D63" s="22">
        <f>D60+D61+D62</f>
        <v>427000</v>
      </c>
      <c r="E63" s="22">
        <f>E60+E61+E62</f>
        <v>475000</v>
      </c>
      <c r="F63" s="22">
        <f>SUM(F60:F62)</f>
        <v>445516</v>
      </c>
    </row>
    <row r="64" spans="2:10" ht="16.2" x14ac:dyDescent="0.45">
      <c r="B64" s="28" t="s">
        <v>48</v>
      </c>
      <c r="D64" s="24">
        <v>614000</v>
      </c>
      <c r="E64" s="24">
        <v>500000</v>
      </c>
      <c r="F64" s="57">
        <v>450000</v>
      </c>
    </row>
    <row r="65" spans="2:6" x14ac:dyDescent="0.3">
      <c r="B65" s="29" t="s">
        <v>49</v>
      </c>
      <c r="D65" s="22">
        <f>D63+D64</f>
        <v>1041000</v>
      </c>
      <c r="E65" s="22">
        <f>E63+E64</f>
        <v>975000</v>
      </c>
      <c r="F65" s="22">
        <f>F63+F64</f>
        <v>895516</v>
      </c>
    </row>
    <row r="66" spans="2:6" x14ac:dyDescent="0.3">
      <c r="B66" s="28" t="s">
        <v>50</v>
      </c>
      <c r="D66" s="22">
        <v>395000</v>
      </c>
      <c r="E66" s="22">
        <v>395000</v>
      </c>
      <c r="F66" s="63">
        <v>395000</v>
      </c>
    </row>
    <row r="67" spans="2:6" ht="16.2" x14ac:dyDescent="0.45">
      <c r="B67" s="28" t="s">
        <v>51</v>
      </c>
      <c r="D67" s="24">
        <v>179000</v>
      </c>
      <c r="E67" s="24">
        <v>544536.00000000047</v>
      </c>
      <c r="F67" s="24">
        <f>E67+F47-F30</f>
        <v>809290.36680000043</v>
      </c>
    </row>
    <row r="68" spans="2:6" ht="16.2" x14ac:dyDescent="0.45">
      <c r="B68" s="29" t="s">
        <v>52</v>
      </c>
      <c r="D68" s="24">
        <f>D66+D67</f>
        <v>574000</v>
      </c>
      <c r="E68" s="24">
        <f>E66+E67</f>
        <v>939536.00000000047</v>
      </c>
      <c r="F68" s="24">
        <f>F66+F67</f>
        <v>1204290.3668000004</v>
      </c>
    </row>
    <row r="69" spans="2:6" ht="15" thickBot="1" x14ac:dyDescent="0.35">
      <c r="B69" s="30" t="s">
        <v>53</v>
      </c>
      <c r="C69" s="31"/>
      <c r="D69" s="26">
        <f>D65+D68</f>
        <v>1615000</v>
      </c>
      <c r="E69" s="26">
        <f>E65+E68</f>
        <v>1914536.0000000005</v>
      </c>
      <c r="F69" s="26">
        <f>F65+F68</f>
        <v>2099806.3668000004</v>
      </c>
    </row>
    <row r="70" spans="2:6" ht="6" customHeight="1" x14ac:dyDescent="0.3"/>
    <row r="71" spans="2:6" ht="4.5" customHeight="1" thickBot="1" x14ac:dyDescent="0.35"/>
    <row r="72" spans="2:6" ht="15" thickBot="1" x14ac:dyDescent="0.35">
      <c r="C72" s="21" t="s">
        <v>254</v>
      </c>
      <c r="F72" s="20">
        <f>F69-F58</f>
        <v>72138.366800000425</v>
      </c>
    </row>
    <row r="73" spans="2:6" ht="10.5" customHeight="1" thickBot="1" x14ac:dyDescent="0.35">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topLeftCell="A22" zoomScale="85" zoomScaleNormal="85" workbookViewId="0">
      <selection activeCell="M40" sqref="M40"/>
    </sheetView>
  </sheetViews>
  <sheetFormatPr defaultRowHeight="14.4" x14ac:dyDescent="0.3"/>
  <cols>
    <col min="1" max="1" width="3.88671875" customWidth="1"/>
    <col min="3" max="3" width="4.6640625" customWidth="1"/>
    <col min="4" max="4" width="4.88671875" customWidth="1"/>
    <col min="5" max="5" width="72.44140625" customWidth="1"/>
  </cols>
  <sheetData>
    <row r="2" spans="2:7" ht="18.600000000000001" x14ac:dyDescent="0.35">
      <c r="B2" s="103"/>
      <c r="C2" s="100"/>
      <c r="D2" s="100"/>
      <c r="E2" s="106" t="s">
        <v>263</v>
      </c>
      <c r="F2" s="100"/>
      <c r="G2" s="100"/>
    </row>
    <row r="3" spans="2:7" x14ac:dyDescent="0.35">
      <c r="B3" s="103"/>
      <c r="C3" s="100"/>
      <c r="D3" s="100"/>
      <c r="E3" s="107" t="s">
        <v>133</v>
      </c>
      <c r="F3" s="100"/>
      <c r="G3" s="100"/>
    </row>
    <row r="4" spans="2:7" x14ac:dyDescent="0.35">
      <c r="B4" s="103"/>
      <c r="C4" s="100"/>
      <c r="D4" s="100"/>
      <c r="E4" s="100"/>
      <c r="F4" s="100"/>
      <c r="G4" s="100"/>
    </row>
    <row r="5" spans="2:7" x14ac:dyDescent="0.35">
      <c r="B5" s="103"/>
      <c r="C5" s="100"/>
      <c r="D5" s="100"/>
      <c r="E5" s="102" t="s">
        <v>134</v>
      </c>
      <c r="F5" s="100"/>
      <c r="G5" s="100"/>
    </row>
    <row r="6" spans="2:7" x14ac:dyDescent="0.35">
      <c r="B6" s="100"/>
      <c r="C6" s="100"/>
      <c r="D6" s="100"/>
      <c r="E6" s="102" t="s">
        <v>135</v>
      </c>
      <c r="F6" s="100"/>
      <c r="G6" s="100"/>
    </row>
    <row r="7" spans="2:7" ht="15" thickBot="1" x14ac:dyDescent="0.4">
      <c r="B7" s="100"/>
      <c r="C7" s="100"/>
      <c r="D7" s="100"/>
      <c r="E7" s="100"/>
      <c r="F7" s="100"/>
      <c r="G7" s="100"/>
    </row>
    <row r="8" spans="2:7" ht="15" thickBot="1" x14ac:dyDescent="0.35">
      <c r="B8" s="105" t="b">
        <v>0</v>
      </c>
      <c r="C8" s="104" t="s">
        <v>0</v>
      </c>
      <c r="D8" s="104"/>
      <c r="E8" s="126" t="s">
        <v>255</v>
      </c>
      <c r="F8" s="100"/>
      <c r="G8" s="100"/>
    </row>
    <row r="9" spans="2:7" ht="33" customHeight="1" x14ac:dyDescent="0.3">
      <c r="B9" s="100"/>
      <c r="C9" s="100"/>
      <c r="D9" s="100"/>
      <c r="E9" s="126"/>
      <c r="F9" s="100"/>
      <c r="G9" s="100"/>
    </row>
    <row r="10" spans="2:7" ht="15" thickBot="1" x14ac:dyDescent="0.4">
      <c r="B10" s="100"/>
      <c r="C10" s="100"/>
      <c r="D10" s="100"/>
      <c r="E10" s="100"/>
      <c r="F10" s="100"/>
      <c r="G10" s="100"/>
    </row>
    <row r="11" spans="2:7" ht="15" thickBot="1" x14ac:dyDescent="0.35">
      <c r="B11" s="105" t="b">
        <v>1</v>
      </c>
      <c r="C11" s="104" t="s">
        <v>1</v>
      </c>
      <c r="D11" s="104"/>
      <c r="E11" s="126" t="s">
        <v>256</v>
      </c>
      <c r="F11" s="100"/>
      <c r="G11" s="100"/>
    </row>
    <row r="12" spans="2:7" ht="23.1" customHeight="1" x14ac:dyDescent="0.3">
      <c r="B12" s="100"/>
      <c r="C12" s="100"/>
      <c r="D12" s="100"/>
      <c r="E12" s="126"/>
      <c r="F12" s="100"/>
      <c r="G12" s="100"/>
    </row>
    <row r="13" spans="2:7" ht="15" thickBot="1" x14ac:dyDescent="0.4">
      <c r="B13" s="100"/>
      <c r="C13" s="100"/>
      <c r="D13" s="100"/>
      <c r="E13" s="100"/>
      <c r="F13" s="100"/>
      <c r="G13" s="100"/>
    </row>
    <row r="14" spans="2:7" ht="15" thickBot="1" x14ac:dyDescent="0.35">
      <c r="B14" s="105" t="b">
        <v>1</v>
      </c>
      <c r="C14" s="104" t="s">
        <v>5</v>
      </c>
      <c r="D14" s="104"/>
      <c r="E14" s="126" t="s">
        <v>257</v>
      </c>
      <c r="F14" s="100"/>
      <c r="G14" s="100"/>
    </row>
    <row r="15" spans="2:7" ht="18.600000000000001" customHeight="1" x14ac:dyDescent="0.3">
      <c r="B15" s="100"/>
      <c r="C15" s="100"/>
      <c r="D15" s="100"/>
      <c r="E15" s="126"/>
      <c r="F15" s="100"/>
      <c r="G15" s="100"/>
    </row>
    <row r="16" spans="2:7" ht="15" thickBot="1" x14ac:dyDescent="0.4">
      <c r="B16" s="100"/>
      <c r="C16" s="100"/>
      <c r="D16" s="100"/>
      <c r="E16" s="100"/>
      <c r="F16" s="100"/>
      <c r="G16" s="100"/>
    </row>
    <row r="17" spans="2:7" ht="15" thickBot="1" x14ac:dyDescent="0.35">
      <c r="B17" s="105" t="b">
        <v>0</v>
      </c>
      <c r="C17" s="104" t="s">
        <v>6</v>
      </c>
      <c r="D17" s="104"/>
      <c r="E17" s="126" t="s">
        <v>264</v>
      </c>
      <c r="F17" s="100"/>
      <c r="G17" s="100"/>
    </row>
    <row r="18" spans="2:7" ht="35.4" customHeight="1" x14ac:dyDescent="0.3">
      <c r="B18" s="100"/>
      <c r="C18" s="100"/>
      <c r="D18" s="100"/>
      <c r="E18" s="126"/>
      <c r="F18" s="100"/>
      <c r="G18" s="100"/>
    </row>
    <row r="19" spans="2:7" ht="15" thickBot="1" x14ac:dyDescent="0.4">
      <c r="B19" s="100"/>
      <c r="C19" s="100"/>
      <c r="D19" s="100"/>
      <c r="E19" s="100"/>
      <c r="F19" s="100"/>
      <c r="G19" s="100"/>
    </row>
    <row r="20" spans="2:7" ht="15" thickBot="1" x14ac:dyDescent="0.35">
      <c r="B20" s="105" t="b">
        <v>1</v>
      </c>
      <c r="C20" s="104" t="s">
        <v>136</v>
      </c>
      <c r="D20" s="104"/>
      <c r="E20" s="126" t="s">
        <v>265</v>
      </c>
      <c r="F20" s="100"/>
      <c r="G20" s="100"/>
    </row>
    <row r="21" spans="2:7" ht="36.6" customHeight="1" x14ac:dyDescent="0.3">
      <c r="B21" s="100"/>
      <c r="C21" s="100"/>
      <c r="D21" s="100"/>
      <c r="E21" s="126"/>
      <c r="F21" s="100"/>
      <c r="G21" s="100"/>
    </row>
    <row r="22" spans="2:7" s="100" customFormat="1" ht="15" thickBot="1" x14ac:dyDescent="0.35"/>
    <row r="23" spans="2:7" s="100" customFormat="1" ht="15" thickBot="1" x14ac:dyDescent="0.35">
      <c r="B23" s="105" t="b">
        <v>0</v>
      </c>
      <c r="C23" s="104" t="s">
        <v>137</v>
      </c>
      <c r="D23" s="104"/>
      <c r="E23" s="126" t="s">
        <v>266</v>
      </c>
    </row>
    <row r="24" spans="2:7" s="100" customFormat="1" ht="22.8" customHeight="1" x14ac:dyDescent="0.3">
      <c r="E24" s="126"/>
    </row>
    <row r="25" spans="2:7" s="100" customFormat="1" ht="15" thickBot="1" x14ac:dyDescent="0.35"/>
    <row r="26" spans="2:7" s="100" customFormat="1" ht="15" thickBot="1" x14ac:dyDescent="0.35">
      <c r="B26" s="105" t="b">
        <v>1</v>
      </c>
      <c r="C26" s="104" t="s">
        <v>144</v>
      </c>
      <c r="D26" s="104"/>
      <c r="E26" s="126" t="s">
        <v>267</v>
      </c>
    </row>
    <row r="27" spans="2:7" s="100" customFormat="1" ht="35.4" customHeight="1" x14ac:dyDescent="0.3">
      <c r="C27" s="104"/>
      <c r="D27" s="104"/>
      <c r="E27" s="126"/>
    </row>
    <row r="28" spans="2:7" s="100" customFormat="1" ht="15" thickBot="1" x14ac:dyDescent="0.35"/>
    <row r="29" spans="2:7" s="100" customFormat="1" ht="15" thickBot="1" x14ac:dyDescent="0.35">
      <c r="B29" s="105" t="b">
        <v>1</v>
      </c>
      <c r="C29" s="104" t="s">
        <v>145</v>
      </c>
      <c r="D29" s="104"/>
      <c r="E29" s="126" t="s">
        <v>268</v>
      </c>
    </row>
    <row r="30" spans="2:7" s="100" customFormat="1" ht="35.4" customHeight="1" x14ac:dyDescent="0.3">
      <c r="C30" s="104"/>
      <c r="D30" s="104"/>
      <c r="E30" s="126"/>
    </row>
    <row r="31" spans="2:7" s="100" customFormat="1" ht="15" thickBot="1" x14ac:dyDescent="0.35"/>
    <row r="32" spans="2:7" s="100" customFormat="1" ht="15" thickBot="1" x14ac:dyDescent="0.35">
      <c r="B32" s="105" t="b">
        <v>0</v>
      </c>
      <c r="C32" s="104" t="s">
        <v>146</v>
      </c>
      <c r="D32" s="104"/>
      <c r="E32" s="126" t="s">
        <v>269</v>
      </c>
    </row>
    <row r="33" spans="1:10" s="100" customFormat="1" ht="25.2" customHeight="1" x14ac:dyDescent="0.3">
      <c r="C33" s="104"/>
      <c r="D33" s="104"/>
      <c r="E33" s="126"/>
    </row>
    <row r="34" spans="1:10" s="100" customFormat="1" ht="15" thickBot="1" x14ac:dyDescent="0.35"/>
    <row r="35" spans="1:10" s="100" customFormat="1" ht="15" thickBot="1" x14ac:dyDescent="0.35">
      <c r="B35" s="105" t="s">
        <v>138</v>
      </c>
      <c r="C35" s="104" t="s">
        <v>147</v>
      </c>
      <c r="D35" s="104"/>
      <c r="E35" s="126" t="s">
        <v>258</v>
      </c>
    </row>
    <row r="36" spans="1:10" s="100" customFormat="1" ht="35.4" customHeight="1" x14ac:dyDescent="0.3">
      <c r="E36" s="126"/>
    </row>
    <row r="37" spans="1:10" s="100" customFormat="1" x14ac:dyDescent="0.3">
      <c r="D37" s="100" t="s">
        <v>139</v>
      </c>
      <c r="E37" s="100" t="s">
        <v>259</v>
      </c>
    </row>
    <row r="38" spans="1:10" s="100" customFormat="1" x14ac:dyDescent="0.3">
      <c r="D38" s="100" t="s">
        <v>140</v>
      </c>
      <c r="E38" s="100" t="s">
        <v>260</v>
      </c>
    </row>
    <row r="39" spans="1:10" s="100" customFormat="1" x14ac:dyDescent="0.3">
      <c r="D39" s="100" t="s">
        <v>141</v>
      </c>
      <c r="E39" s="100" t="s">
        <v>261</v>
      </c>
    </row>
    <row r="40" spans="1:10" s="100" customFormat="1" x14ac:dyDescent="0.3">
      <c r="D40" s="100" t="s">
        <v>142</v>
      </c>
      <c r="E40" s="100" t="s">
        <v>24</v>
      </c>
    </row>
    <row r="41" spans="1:10" s="100" customFormat="1" x14ac:dyDescent="0.3">
      <c r="D41" s="100" t="s">
        <v>143</v>
      </c>
      <c r="E41" s="100" t="s">
        <v>262</v>
      </c>
    </row>
    <row r="42" spans="1:10" ht="15" thickBot="1" x14ac:dyDescent="0.35">
      <c r="B42" s="100"/>
      <c r="C42" s="100"/>
      <c r="D42" s="100"/>
      <c r="E42" s="100"/>
      <c r="F42" s="100"/>
      <c r="G42" s="100"/>
    </row>
    <row r="43" spans="1:10" ht="15" thickBot="1" x14ac:dyDescent="0.35">
      <c r="A43" s="123" t="s">
        <v>148</v>
      </c>
      <c r="B43" s="124"/>
      <c r="C43" s="124"/>
      <c r="D43" s="124"/>
      <c r="E43" s="124"/>
      <c r="F43" s="124"/>
      <c r="G43" s="124"/>
      <c r="H43" s="125"/>
    </row>
    <row r="45" spans="1:10" x14ac:dyDescent="0.3">
      <c r="F45" s="100">
        <v>1</v>
      </c>
      <c r="G45" s="101" t="b">
        <v>0</v>
      </c>
      <c r="I45" s="100">
        <v>6</v>
      </c>
      <c r="J45" s="101" t="b">
        <v>0</v>
      </c>
    </row>
    <row r="46" spans="1:10" x14ac:dyDescent="0.3">
      <c r="F46" s="100">
        <v>2</v>
      </c>
      <c r="G46" s="101" t="b">
        <v>1</v>
      </c>
      <c r="I46" s="100">
        <v>7</v>
      </c>
      <c r="J46" s="101" t="b">
        <v>1</v>
      </c>
    </row>
    <row r="47" spans="1:10" x14ac:dyDescent="0.3">
      <c r="F47" s="100">
        <v>3</v>
      </c>
      <c r="G47" s="101" t="b">
        <v>1</v>
      </c>
      <c r="I47" s="100">
        <v>8</v>
      </c>
      <c r="J47" s="101" t="b">
        <v>1</v>
      </c>
    </row>
    <row r="48" spans="1:10" x14ac:dyDescent="0.3">
      <c r="F48" s="100">
        <v>4</v>
      </c>
      <c r="G48" s="101" t="b">
        <v>0</v>
      </c>
      <c r="I48" s="100">
        <v>9</v>
      </c>
      <c r="J48" s="101" t="b">
        <v>0</v>
      </c>
    </row>
    <row r="49" spans="6:10" x14ac:dyDescent="0.3">
      <c r="F49" s="100">
        <v>5</v>
      </c>
      <c r="G49" s="101" t="b">
        <v>1</v>
      </c>
      <c r="I49" s="100">
        <v>10</v>
      </c>
      <c r="J49" s="101" t="s">
        <v>138</v>
      </c>
    </row>
    <row r="50" spans="6:10" x14ac:dyDescent="0.3">
      <c r="I50" s="100"/>
      <c r="J50" s="101"/>
    </row>
  </sheetData>
  <mergeCells count="11">
    <mergeCell ref="A43:H43"/>
    <mergeCell ref="E8:E9"/>
    <mergeCell ref="E11:E12"/>
    <mergeCell ref="E14:E15"/>
    <mergeCell ref="E17:E18"/>
    <mergeCell ref="E20:E21"/>
    <mergeCell ref="E23:E24"/>
    <mergeCell ref="E26:E27"/>
    <mergeCell ref="E29:E30"/>
    <mergeCell ref="E32:E33"/>
    <mergeCell ref="E35:E3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P1 - 25 Pts</vt:lpstr>
      <vt:lpstr>P2 - 5 Pts</vt:lpstr>
      <vt:lpstr>P3 - 10 Pts</vt:lpstr>
      <vt:lpstr>P4 - 25 Pts</vt:lpstr>
      <vt:lpstr>P5 - 15 Pts</vt:lpstr>
      <vt:lpstr>MC-TF - 20 Pts</vt:lpstr>
      <vt:lpstr>Periods</vt:lpstr>
      <vt:lpstr>'P5 - 15 Pts'!Print_Area</vt:lpstr>
      <vt:lpstr>Rate</vt:lpstr>
      <vt:lpstr>Term</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cp:lastPrinted>2010-04-05T16:12:33Z</cp:lastPrinted>
  <dcterms:created xsi:type="dcterms:W3CDTF">2010-01-13T00:10:02Z</dcterms:created>
  <dcterms:modified xsi:type="dcterms:W3CDTF">2012-03-26T20:29:06Z</dcterms:modified>
</cp:coreProperties>
</file>