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420" windowHeight="7290"/>
  </bookViews>
  <sheets>
    <sheet name="Inputs-Outputs" sheetId="1" r:id="rId1"/>
    <sheet name="CF Detail" sheetId="2" r:id="rId2"/>
    <sheet name="Depn-ATSV" sheetId="3" r:id="rId3"/>
    <sheet name="PAYBACK" sheetId="4" r:id="rId4"/>
    <sheet name="IRR" sheetId="5" r:id="rId5"/>
  </sheets>
  <definedNames>
    <definedName name="Life">'Inputs-Outputs'!$G$6</definedName>
    <definedName name="Rate">'Inputs-Outputs'!$J$6</definedName>
    <definedName name="Tax">'Inputs-Outputs'!$J$5</definedName>
  </definedNames>
  <calcPr calcId="124519"/>
</workbook>
</file>

<file path=xl/calcChain.xml><?xml version="1.0" encoding="utf-8"?>
<calcChain xmlns="http://schemas.openxmlformats.org/spreadsheetml/2006/main">
  <c r="D31" i="3"/>
  <c r="E31"/>
  <c r="F31"/>
  <c r="G31"/>
  <c r="H31"/>
  <c r="I31"/>
  <c r="J31"/>
  <c r="K31"/>
  <c r="L31"/>
  <c r="C31"/>
  <c r="G129" i="5"/>
  <c r="J125"/>
  <c r="J123"/>
  <c r="G124"/>
  <c r="G120"/>
  <c r="G121"/>
  <c r="G122"/>
  <c r="G123"/>
  <c r="G119"/>
  <c r="F75"/>
  <c r="F77" s="1"/>
  <c r="J64" s="1"/>
  <c r="E77"/>
  <c r="I64" s="1"/>
  <c r="E60"/>
  <c r="I41" s="1"/>
  <c r="D29"/>
  <c r="D28"/>
  <c r="G18" s="1"/>
  <c r="C22" i="3"/>
  <c r="E26" s="1"/>
  <c r="C21"/>
  <c r="C20"/>
  <c r="F26"/>
  <c r="H26"/>
  <c r="J26"/>
  <c r="L26"/>
  <c r="K26" l="1"/>
  <c r="I26"/>
  <c r="G26"/>
  <c r="L4" i="4" l="1"/>
  <c r="L12" s="1"/>
  <c r="K4"/>
  <c r="K12" s="1"/>
  <c r="I22" i="3"/>
  <c r="I21"/>
  <c r="I20"/>
  <c r="B34"/>
  <c r="B35" s="1"/>
  <c r="C31" i="1"/>
  <c r="C30"/>
  <c r="M23" i="2"/>
  <c r="E23"/>
  <c r="F23"/>
  <c r="G23"/>
  <c r="H23"/>
  <c r="I23"/>
  <c r="J23"/>
  <c r="L23"/>
  <c r="D23"/>
  <c r="D22"/>
  <c r="K77" i="3"/>
  <c r="K74"/>
  <c r="K80" s="1"/>
  <c r="E77"/>
  <c r="E74"/>
  <c r="B68"/>
  <c r="E22" i="2"/>
  <c r="F22"/>
  <c r="G22"/>
  <c r="H22"/>
  <c r="I22"/>
  <c r="J22"/>
  <c r="L22"/>
  <c r="M22"/>
  <c r="L19"/>
  <c r="M19"/>
  <c r="L17"/>
  <c r="M17"/>
  <c r="L15"/>
  <c r="M15"/>
  <c r="E14"/>
  <c r="F14"/>
  <c r="G14"/>
  <c r="H14"/>
  <c r="I14"/>
  <c r="J14"/>
  <c r="K14"/>
  <c r="L14"/>
  <c r="M14"/>
  <c r="D14"/>
  <c r="E13"/>
  <c r="F13"/>
  <c r="G13"/>
  <c r="H13"/>
  <c r="I13"/>
  <c r="J13"/>
  <c r="K13"/>
  <c r="L13"/>
  <c r="M13"/>
  <c r="D13"/>
  <c r="E65" i="3"/>
  <c r="E62"/>
  <c r="D7" i="2"/>
  <c r="H68" i="3"/>
  <c r="N14" i="2" l="1"/>
  <c r="E80" i="3"/>
  <c r="N13" i="2"/>
  <c r="K22"/>
  <c r="N22" s="1"/>
  <c r="G21" i="3"/>
  <c r="G20"/>
  <c r="G19"/>
  <c r="C19"/>
  <c r="D5" i="2"/>
  <c r="D4"/>
  <c r="D3"/>
  <c r="B15" i="1"/>
  <c r="C36" i="3" l="1"/>
  <c r="F54"/>
  <c r="J54"/>
  <c r="E53"/>
  <c r="I53"/>
  <c r="F52"/>
  <c r="E51"/>
  <c r="C52"/>
  <c r="F50"/>
  <c r="J50"/>
  <c r="E49"/>
  <c r="I49"/>
  <c r="G48"/>
  <c r="D47"/>
  <c r="I54"/>
  <c r="H53"/>
  <c r="D51"/>
  <c r="E50"/>
  <c r="I50"/>
  <c r="H49"/>
  <c r="C50"/>
  <c r="H54"/>
  <c r="L54"/>
  <c r="D52"/>
  <c r="C54"/>
  <c r="E48"/>
  <c r="C47"/>
  <c r="E54"/>
  <c r="G54"/>
  <c r="K54"/>
  <c r="F53"/>
  <c r="J53"/>
  <c r="G52"/>
  <c r="F51"/>
  <c r="C51"/>
  <c r="G50"/>
  <c r="K50"/>
  <c r="F49"/>
  <c r="D48"/>
  <c r="C48"/>
  <c r="E47"/>
  <c r="D53"/>
  <c r="E52"/>
  <c r="C53"/>
  <c r="D49"/>
  <c r="F48"/>
  <c r="D54"/>
  <c r="G53"/>
  <c r="H52"/>
  <c r="D50"/>
  <c r="H50"/>
  <c r="L50"/>
  <c r="G49"/>
  <c r="C49"/>
  <c r="H21"/>
  <c r="B45"/>
  <c r="B46" s="1"/>
  <c r="F39"/>
  <c r="J39"/>
  <c r="G38"/>
  <c r="E37"/>
  <c r="C38"/>
  <c r="E41"/>
  <c r="G41"/>
  <c r="I41"/>
  <c r="K41"/>
  <c r="D42"/>
  <c r="F42"/>
  <c r="H42"/>
  <c r="J42"/>
  <c r="L42"/>
  <c r="E43"/>
  <c r="G43"/>
  <c r="I43"/>
  <c r="K43"/>
  <c r="C43"/>
  <c r="C41"/>
  <c r="G40"/>
  <c r="D40"/>
  <c r="D26" s="1"/>
  <c r="F40"/>
  <c r="L39"/>
  <c r="G39"/>
  <c r="D38"/>
  <c r="H38"/>
  <c r="F37"/>
  <c r="C39"/>
  <c r="D41"/>
  <c r="F41"/>
  <c r="H41"/>
  <c r="J41"/>
  <c r="L41"/>
  <c r="E42"/>
  <c r="G42"/>
  <c r="I42"/>
  <c r="K42"/>
  <c r="D43"/>
  <c r="F43"/>
  <c r="H43"/>
  <c r="J43"/>
  <c r="L43"/>
  <c r="C42"/>
  <c r="C40"/>
  <c r="C26" s="1"/>
  <c r="H40"/>
  <c r="E40"/>
  <c r="K39"/>
  <c r="E39"/>
  <c r="I39"/>
  <c r="F38"/>
  <c r="D37"/>
  <c r="C37"/>
  <c r="E36"/>
  <c r="D39"/>
  <c r="H39"/>
  <c r="E38"/>
  <c r="I38"/>
  <c r="G37"/>
  <c r="D36"/>
  <c r="E70"/>
  <c r="E58"/>
  <c r="K70"/>
  <c r="M53" l="1"/>
  <c r="M52"/>
  <c r="M42"/>
  <c r="C30"/>
  <c r="C32" s="1"/>
  <c r="D15" i="2" s="1"/>
  <c r="G30" i="3"/>
  <c r="G32" s="1"/>
  <c r="H15" i="2" s="1"/>
  <c r="K30" i="3"/>
  <c r="K32" s="1"/>
  <c r="E30"/>
  <c r="E32" s="1"/>
  <c r="F15" i="2" s="1"/>
  <c r="F16" s="1"/>
  <c r="F30" i="3"/>
  <c r="F32" s="1"/>
  <c r="G15" i="2" s="1"/>
  <c r="G16" s="1"/>
  <c r="J30" i="3"/>
  <c r="J32" s="1"/>
  <c r="K15" i="2" s="1"/>
  <c r="D30" i="3"/>
  <c r="D32" s="1"/>
  <c r="E15" i="2" s="1"/>
  <c r="E19" s="1"/>
  <c r="H30" i="3"/>
  <c r="H32" s="1"/>
  <c r="I15" i="2" s="1"/>
  <c r="L30" i="3"/>
  <c r="L32" s="1"/>
  <c r="I30"/>
  <c r="I32" s="1"/>
  <c r="J15" i="2" s="1"/>
  <c r="M51" i="3"/>
  <c r="M40"/>
  <c r="M26"/>
  <c r="E59" s="1"/>
  <c r="E60" s="1"/>
  <c r="E63" s="1"/>
  <c r="E64" s="1"/>
  <c r="E66" s="1"/>
  <c r="D6" i="2" s="1"/>
  <c r="D8" s="1"/>
  <c r="M41" i="3"/>
  <c r="G19" i="2"/>
  <c r="F19"/>
  <c r="J19" l="1"/>
  <c r="J16"/>
  <c r="J17" s="1"/>
  <c r="J18" s="1"/>
  <c r="K19"/>
  <c r="K16"/>
  <c r="K17" s="1"/>
  <c r="K18" s="1"/>
  <c r="H19"/>
  <c r="H16"/>
  <c r="H17" s="1"/>
  <c r="H18" s="1"/>
  <c r="I19"/>
  <c r="I16"/>
  <c r="I17" s="1"/>
  <c r="I18" s="1"/>
  <c r="E16"/>
  <c r="M30" i="3"/>
  <c r="K71" s="1"/>
  <c r="K72" s="1"/>
  <c r="K75" s="1"/>
  <c r="K76" s="1"/>
  <c r="K78" s="1"/>
  <c r="K81" s="1"/>
  <c r="K82" s="1"/>
  <c r="C21" i="1"/>
  <c r="B4" i="4"/>
  <c r="B12" s="1"/>
  <c r="M31" i="3"/>
  <c r="E71" s="1"/>
  <c r="E72" s="1"/>
  <c r="E75" s="1"/>
  <c r="E76" s="1"/>
  <c r="E78" s="1"/>
  <c r="E81" s="1"/>
  <c r="E82" s="1"/>
  <c r="D19" i="2"/>
  <c r="N15"/>
  <c r="D16"/>
  <c r="E17"/>
  <c r="E18" s="1"/>
  <c r="E20" s="1"/>
  <c r="E24" s="1"/>
  <c r="F17"/>
  <c r="F18" s="1"/>
  <c r="F20" s="1"/>
  <c r="F24" s="1"/>
  <c r="G17"/>
  <c r="G18" s="1"/>
  <c r="G20" s="1"/>
  <c r="G24" s="1"/>
  <c r="N19" l="1"/>
  <c r="H20"/>
  <c r="H24" s="1"/>
  <c r="C26" i="1" s="1"/>
  <c r="J20" i="2"/>
  <c r="J24" s="1"/>
  <c r="I4" i="4" s="1"/>
  <c r="I12" s="1"/>
  <c r="K84" i="3"/>
  <c r="K23" i="2" s="1"/>
  <c r="N23" s="1"/>
  <c r="I20"/>
  <c r="I24" s="1"/>
  <c r="K20"/>
  <c r="C25" i="1"/>
  <c r="F4" i="4"/>
  <c r="F12" s="1"/>
  <c r="C23" i="1"/>
  <c r="D4" i="4"/>
  <c r="D12" s="1"/>
  <c r="C24" i="1"/>
  <c r="E4" i="4"/>
  <c r="E12" s="1"/>
  <c r="D17" i="2"/>
  <c r="N17" s="1"/>
  <c r="N16"/>
  <c r="G4" i="4" l="1"/>
  <c r="G12" s="1"/>
  <c r="K24" i="2"/>
  <c r="J4" i="4" s="1"/>
  <c r="J12" s="1"/>
  <c r="C28" i="1"/>
  <c r="H4" i="4"/>
  <c r="H12" s="1"/>
  <c r="C27" i="1"/>
  <c r="D18" i="2"/>
  <c r="C29" i="1" l="1"/>
  <c r="N18" i="2"/>
  <c r="D20"/>
  <c r="N20" l="1"/>
  <c r="D24"/>
  <c r="C4" i="4" s="1"/>
  <c r="C6" l="1"/>
  <c r="D6" s="1"/>
  <c r="E6" s="1"/>
  <c r="C12"/>
  <c r="C14" s="1"/>
  <c r="D14" s="1"/>
  <c r="N24" i="2"/>
  <c r="C22" i="1"/>
  <c r="F22" s="1"/>
  <c r="D7" i="4" l="1"/>
  <c r="D15"/>
  <c r="E14"/>
  <c r="F6"/>
  <c r="E7"/>
  <c r="F20" i="1"/>
  <c r="F21"/>
  <c r="F25" l="1"/>
  <c r="F26"/>
  <c r="F14" i="4"/>
  <c r="E15"/>
  <c r="G6"/>
  <c r="F7"/>
  <c r="G14" l="1"/>
  <c r="F15"/>
  <c r="H6"/>
  <c r="G7"/>
  <c r="H14" l="1"/>
  <c r="G15"/>
  <c r="I6"/>
  <c r="H7"/>
  <c r="I14" l="1"/>
  <c r="H15"/>
  <c r="J6"/>
  <c r="I7"/>
  <c r="J14" l="1"/>
  <c r="I15"/>
  <c r="K6"/>
  <c r="J7"/>
  <c r="K14" l="1"/>
  <c r="J15"/>
  <c r="L6"/>
  <c r="L7" s="1"/>
  <c r="K7"/>
  <c r="L14" l="1"/>
  <c r="L15" s="1"/>
  <c r="C17" s="1"/>
  <c r="F24" i="1" s="1"/>
  <c r="K15" i="4"/>
  <c r="C9"/>
  <c r="F23" i="1" s="1"/>
</calcChain>
</file>

<file path=xl/sharedStrings.xml><?xml version="1.0" encoding="utf-8"?>
<sst xmlns="http://schemas.openxmlformats.org/spreadsheetml/2006/main" count="206" uniqueCount="141">
  <si>
    <t>Original Cost</t>
  </si>
  <si>
    <t>Old</t>
  </si>
  <si>
    <t>New</t>
  </si>
  <si>
    <t>Expected Useful Life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</si>
  <si>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</si>
  <si>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</si>
  <si>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</si>
  <si>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</si>
  <si>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</si>
  <si>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</si>
  <si>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</si>
  <si>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</si>
  <si>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</si>
  <si>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</si>
  <si>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</si>
  <si>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</si>
  <si>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</si>
  <si>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</si>
  <si>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</si>
  <si>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</si>
  <si>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</si>
  <si>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</si>
  <si>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</si>
  <si>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</si>
  <si>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</si>
  <si>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</si>
  <si>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</si>
  <si>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</si>
  <si>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</si>
  <si>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</si>
  <si>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</si>
  <si>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</si>
  <si>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</si>
  <si>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</si>
  <si>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</si>
  <si>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</si>
  <si>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</si>
  <si>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</si>
  <si>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</si>
  <si>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</si>
  <si>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</si>
  <si>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</si>
  <si>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</si>
  <si>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</si>
  <si>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</si>
  <si>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</si>
  <si>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</si>
  <si>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</si>
  <si>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</si>
  <si>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</si>
  <si>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</si>
  <si>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</si>
  <si>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</si>
  <si>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</si>
  <si>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</si>
  <si>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</si>
  <si>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</si>
  <si>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</si>
  <si>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</si>
  <si>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</si>
  <si>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</si>
  <si>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</si>
  <si>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</si>
  <si>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</si>
  <si>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</si>
  <si>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</si>
  <si>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</si>
  <si>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</si>
  <si>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</si>
  <si>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</si>
  <si>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</si>
  <si>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</si>
  <si>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</si>
  <si>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</si>
  <si>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</si>
  <si>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</si>
  <si>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</si>
  <si>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</si>
  <si>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</si>
  <si>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</si>
  <si>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</si>
  <si>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</si>
  <si>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</si>
  <si>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Current Salvage Value</t>
  </si>
  <si>
    <t>SL</t>
  </si>
  <si>
    <t>S3</t>
  </si>
  <si>
    <t>S5</t>
  </si>
  <si>
    <t>S7</t>
  </si>
  <si>
    <t>S10</t>
  </si>
  <si>
    <t>M3</t>
  </si>
  <si>
    <t>M5</t>
  </si>
  <si>
    <t>M7</t>
  </si>
  <si>
    <t>M10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</si>
  <si>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</si>
  <si>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</si>
  <si>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</si>
  <si>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</si>
  <si>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</si>
  <si>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</si>
  <si>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</si>
  <si>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</si>
  <si>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</si>
  <si>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</si>
  <si>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</si>
  <si>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</si>
  <si>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</si>
  <si>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</si>
  <si>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</si>
  <si>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</si>
  <si>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</si>
  <si>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</si>
  <si>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</si>
  <si>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</si>
  <si>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</si>
  <si>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</si>
  <si>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</si>
  <si>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</si>
  <si>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</si>
  <si>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</si>
  <si>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</si>
  <si>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</si>
  <si>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</si>
  <si>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</si>
  <si>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</si>
  <si>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</si>
  <si>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</si>
  <si>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High IRR's UNDERSTATE the true value of the project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</si>
  <si>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</si>
  <si>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</si>
  <si>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</si>
  <si>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</si>
  <si>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</si>
  <si>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</si>
  <si>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Step 2:</t>
  </si>
  <si>
    <t>Step 3:</t>
  </si>
  <si>
    <t>Function:</t>
  </si>
  <si>
    <t xml:space="preserve">The MIRR for our model is not so easy to find, since it has to work for </t>
  </si>
  <si>
    <t xml:space="preserve">   up to 10 years of cash flows -- but the MIRR formula would</t>
  </si>
  <si>
    <t xml:space="preserve">   assume a project life of 10 years even if it isn't</t>
  </si>
  <si>
    <t>Disc PB</t>
  </si>
  <si>
    <t>Profitability Index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</si>
</sst>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_);_(* \(#,##0.0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10" fontId="7" fillId="0" borderId="0" xfId="2" applyNumberFormat="1" applyFont="1"/>
    <xf numFmtId="0" fontId="2" fillId="0" borderId="0" xfId="0" applyNumberFormat="1" applyFont="1" applyAlignment="1">
      <alignment horizontal="center"/>
    </xf>
    <xf numFmtId="41" fontId="0" fillId="0" borderId="0" xfId="0" applyNumberFormat="1" applyFont="1"/>
    <xf numFmtId="10" fontId="0" fillId="0" borderId="0" xfId="0" applyNumberFormat="1"/>
    <xf numFmtId="0" fontId="9" fillId="0" borderId="1" xfId="0" applyFont="1" applyBorder="1"/>
    <xf numFmtId="0" fontId="0" fillId="0" borderId="0" xfId="0"/>
    <xf numFmtId="0" fontId="2" fillId="0" borderId="0" xfId="0" applyFont="1"/>
    <xf numFmtId="10" fontId="0" fillId="0" borderId="0" xfId="0" applyNumberFormat="1"/>
    <xf numFmtId="8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0" fontId="2" fillId="0" borderId="0" xfId="0" applyFont="1" applyAlignment="1">
      <alignment horizontal="right"/>
    </xf>
    <xf numFmtId="6" fontId="0" fillId="0" borderId="0" xfId="0" applyNumberFormat="1"/>
    <xf numFmtId="8" fontId="0" fillId="0" borderId="0" xfId="3" applyNumberFormat="1" applyFont="1"/>
    <xf numFmtId="165" fontId="0" fillId="0" borderId="0" xfId="3" applyNumberFormat="1" applyFont="1"/>
    <xf numFmtId="166" fontId="0" fillId="0" borderId="0" xfId="1" applyNumberFormat="1" applyFont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3" fillId="0" borderId="0" xfId="1" applyNumberFormat="1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71062992125978"/>
          <c:y val="5.6030183727034118E-2"/>
          <c:w val="0.82428237095363055"/>
          <c:h val="0.89719889180519119"/>
        </c:manualLayout>
      </c:layout>
      <c:scatterChart>
        <c:scatterStyle val="smoothMarker"/>
        <c:ser>
          <c:idx val="0"/>
          <c:order val="0"/>
          <c:tx>
            <c:strRef>
              <c:f>IRR!$I$64</c:f>
              <c:strCache>
                <c:ptCount val="1"/>
                <c:pt idx="0">
                  <c:v> $165.04 </c:v>
                </c:pt>
              </c:strCache>
            </c:strRef>
          </c:tx>
          <c:marker>
            <c:symbol val="none"/>
          </c:marker>
          <c:xVal>
            <c:numRef>
              <c:f>IRR!$H$65:$H$80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IRR!$I$65:$I$80</c:f>
              <c:numCache>
                <c:formatCode>General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IRR!$J$64</c:f>
              <c:strCache>
                <c:ptCount val="1"/>
                <c:pt idx="0">
                  <c:v> $465.22 </c:v>
                </c:pt>
              </c:strCache>
            </c:strRef>
          </c:tx>
          <c:marker>
            <c:symbol val="none"/>
          </c:marker>
          <c:xVal>
            <c:numRef>
              <c:f>IRR!$H$65:$H$80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IRR!$J$65:$J$80</c:f>
              <c:numCache>
                <c:formatCode>General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37909248"/>
        <c:axId val="37910784"/>
      </c:scatterChart>
      <c:valAx>
        <c:axId val="37909248"/>
        <c:scaling>
          <c:orientation val="minMax"/>
        </c:scaling>
        <c:axPos val="b"/>
        <c:numFmt formatCode="0%" sourceLinked="1"/>
        <c:tickLblPos val="nextTo"/>
        <c:crossAx val="37910784"/>
        <c:crosses val="autoZero"/>
        <c:crossBetween val="midCat"/>
      </c:valAx>
      <c:valAx>
        <c:axId val="37910784"/>
        <c:scaling>
          <c:orientation val="minMax"/>
        </c:scaling>
        <c:axPos val="l"/>
        <c:majorGridlines/>
        <c:numFmt formatCode="General" sourceLinked="1"/>
        <c:tickLblPos val="nextTo"/>
        <c:crossAx val="3790924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175046</xdr:colOff>
      <xdr:row>81</xdr:row>
      <xdr:rowOff>55463</xdr:rowOff>
    </xdr:from>
    <xdr:to>
      <xdr:col>8</xdr:col>
      <xdr:colOff>4928</xdr:colOff>
      <xdr:row>96</xdr:row>
      <xdr:rowOff>36413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0.33056</cdr:x>
      <cdr:y>0.46759</cdr:y>
    </cdr:from>
    <cdr:to>
      <cdr:x>0.55278</cdr:x>
      <cdr:y>0.56481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1300" y="1282700"/>
          <a:ext cx="1016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Project B</a:t>
          </a:r>
        </a:p>
      </cdr:txBody>
    </cdr:sp>
  </cdr:relSizeAnchor>
  <cdr:relSizeAnchor xmlns:cdr="http://schemas.openxmlformats.org/drawingml/2006/chartDrawing">
    <cdr:from>
      <cdr:x>0.14722</cdr:x>
      <cdr:y>0.56944</cdr:y>
    </cdr:from>
    <cdr:to>
      <cdr:x>0.30556</cdr:x>
      <cdr:y>0.63889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3100" y="1562100"/>
          <a:ext cx="7239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Project 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1"/>
  <sheetViews>
    <sheetView tabSelected="1" topLeftCell="A4" zoomScale="130" zoomScaleNormal="130" workbookViewId="0">
      <selection activeCell="I23" sqref="I23"/>
    </sheetView>
  </sheetViews>
  <sheetFormatPr defaultColWidth="8.7265625" defaultRowHeight="14.5"/>
  <cols>
    <col min="1" max="1" width="4.7265625" style="1" customWidth="1"/>
    <col min="2" max="2" width="6.1796875" style="1" customWidth="1"/>
    <col min="3" max="3" width="11.453125" style="1" customWidth="1"/>
    <col min="4" max="4" width="3.1796875" style="23" customWidth="1"/>
    <col min="5" max="5" width="17.453125" style="23" customWidth="1"/>
    <col min="6" max="7" width="11.1796875" style="1" customWidth="1"/>
    <col min="8" max="8" width="4.1796875" style="1" customWidth="1"/>
    <col min="9" max="9" width="21.1796875" style="1" customWidth="1"/>
    <col min="10" max="16384" width="8.7265625" style="1"/>
  </cols>
  <sheetData>
    <row r="1" spans="2:12" ht="8.5" customHeight="1" thickBot="1"/>
    <row r="2" spans="2:12" ht="26.5" customHeight="1" thickBot="1">
      <c r="B2" s="87" t="s">
        <v>23</v>
      </c>
      <c r="C2" s="88"/>
      <c r="D2" s="88"/>
      <c r="E2" s="88"/>
      <c r="F2" s="88"/>
      <c r="G2" s="88"/>
      <c r="H2" s="88"/>
      <c r="I2" s="88"/>
      <c r="J2" s="89"/>
    </row>
    <row r="3" spans="2:12" ht="7" customHeight="1" thickBot="1"/>
    <row r="4" spans="2:12" ht="20.5" customHeight="1" thickBot="1">
      <c r="B4" s="90" t="s">
        <v>22</v>
      </c>
      <c r="C4" s="92"/>
      <c r="D4" s="92"/>
      <c r="E4" s="92"/>
      <c r="F4" s="92" t="s">
        <v>1</v>
      </c>
      <c r="G4" s="91" t="s">
        <v>2</v>
      </c>
      <c r="I4" s="90" t="s">
        <v>24</v>
      </c>
      <c r="J4" s="91"/>
    </row>
    <row r="5" spans="2:12">
      <c r="B5" s="5" t="s">
        <v>0</v>
      </c>
      <c r="C5" s="12"/>
      <c r="D5" s="50"/>
      <c r="E5" s="50"/>
      <c r="F5" s="5">
        <v>50000</v>
      </c>
      <c r="G5" s="6">
        <v>100000</v>
      </c>
      <c r="I5" s="16" t="s">
        <v>11</v>
      </c>
      <c r="J5" s="18">
        <v>0.34</v>
      </c>
    </row>
    <row r="6" spans="2:12" ht="15" thickBot="1">
      <c r="B6" s="7" t="s">
        <v>3</v>
      </c>
      <c r="C6" s="13"/>
      <c r="D6" s="51"/>
      <c r="E6" s="51"/>
      <c r="F6" s="15"/>
      <c r="G6" s="8">
        <v>8</v>
      </c>
      <c r="I6" s="17" t="s">
        <v>12</v>
      </c>
      <c r="J6" s="19">
        <v>0.12</v>
      </c>
    </row>
    <row r="7" spans="2:12">
      <c r="B7" s="7" t="s">
        <v>4</v>
      </c>
      <c r="C7" s="13"/>
      <c r="D7" s="51"/>
      <c r="E7" s="51"/>
      <c r="F7" s="7">
        <v>2</v>
      </c>
      <c r="G7" s="9"/>
    </row>
    <row r="8" spans="2:12">
      <c r="B8" s="7" t="s">
        <v>5</v>
      </c>
      <c r="C8" s="13"/>
      <c r="D8" s="51"/>
      <c r="E8" s="51"/>
      <c r="F8" s="15"/>
      <c r="G8" s="8">
        <v>10000</v>
      </c>
    </row>
    <row r="9" spans="2:12">
      <c r="B9" s="7" t="s">
        <v>6</v>
      </c>
      <c r="C9" s="13"/>
      <c r="D9" s="51"/>
      <c r="E9" s="51"/>
      <c r="F9" s="7">
        <v>8000</v>
      </c>
      <c r="G9" s="8">
        <v>3000</v>
      </c>
      <c r="L9" s="23" t="s">
        <v>84</v>
      </c>
    </row>
    <row r="10" spans="2:12">
      <c r="B10" s="7" t="s">
        <v>7</v>
      </c>
      <c r="C10" s="13"/>
      <c r="D10" s="51"/>
      <c r="E10" s="51"/>
      <c r="F10" s="7">
        <v>35000</v>
      </c>
      <c r="G10" s="8">
        <v>55000</v>
      </c>
      <c r="L10" s="23" t="s">
        <v>26</v>
      </c>
    </row>
    <row r="11" spans="2:12">
      <c r="B11" s="7" t="s">
        <v>8</v>
      </c>
      <c r="C11" s="13"/>
      <c r="D11" s="51"/>
      <c r="E11" s="51"/>
      <c r="F11" s="7">
        <v>18000</v>
      </c>
      <c r="G11" s="8">
        <v>20000</v>
      </c>
    </row>
    <row r="12" spans="2:12">
      <c r="B12" s="7" t="s">
        <v>9</v>
      </c>
      <c r="C12" s="13"/>
      <c r="D12" s="51"/>
      <c r="E12" s="51"/>
      <c r="F12" s="20" t="s">
        <v>26</v>
      </c>
      <c r="G12" s="8" t="s">
        <v>26</v>
      </c>
      <c r="L12" s="1">
        <v>3</v>
      </c>
    </row>
    <row r="13" spans="2:12">
      <c r="B13" s="7" t="s">
        <v>10</v>
      </c>
      <c r="C13" s="13"/>
      <c r="D13" s="51"/>
      <c r="E13" s="51"/>
      <c r="F13" s="20">
        <v>3</v>
      </c>
      <c r="G13" s="8">
        <v>3</v>
      </c>
      <c r="L13" s="1">
        <v>5</v>
      </c>
    </row>
    <row r="14" spans="2:12">
      <c r="B14" s="7" t="s">
        <v>13</v>
      </c>
      <c r="C14" s="13"/>
      <c r="D14" s="51"/>
      <c r="E14" s="51"/>
      <c r="F14" s="7">
        <v>30000</v>
      </c>
      <c r="G14" s="9"/>
      <c r="L14" s="1">
        <v>7</v>
      </c>
    </row>
    <row r="15" spans="2:12" ht="15" thickBot="1">
      <c r="B15" s="10" t="str">
        <f>"Expected Salvage Value at t="&amp;G6</f>
        <v>Expected Salvage Value at t=8</v>
      </c>
      <c r="C15" s="14"/>
      <c r="D15" s="52"/>
      <c r="E15" s="52"/>
      <c r="F15" s="10">
        <v>5000</v>
      </c>
      <c r="G15" s="11">
        <v>25000</v>
      </c>
      <c r="L15" s="1">
        <v>10</v>
      </c>
    </row>
    <row r="16" spans="2:12" ht="15" thickBot="1"/>
    <row r="17" spans="2:10" ht="26.5" customHeight="1" thickBot="1">
      <c r="B17" s="87" t="s">
        <v>68</v>
      </c>
      <c r="C17" s="88"/>
      <c r="D17" s="88"/>
      <c r="E17" s="88"/>
      <c r="F17" s="88"/>
      <c r="G17" s="88"/>
      <c r="H17" s="88"/>
      <c r="I17" s="88"/>
      <c r="J17" s="89"/>
    </row>
    <row r="18" spans="2:10" ht="15" thickBot="1">
      <c r="B18" s="54"/>
      <c r="C18" s="54"/>
      <c r="D18" s="41"/>
      <c r="E18" s="54"/>
      <c r="F18" s="54"/>
    </row>
    <row r="19" spans="2:10" ht="20.149999999999999" customHeight="1">
      <c r="B19" s="93" t="s">
        <v>70</v>
      </c>
      <c r="C19" s="93"/>
      <c r="D19" s="53"/>
      <c r="E19" s="93" t="s">
        <v>79</v>
      </c>
      <c r="F19" s="93"/>
    </row>
    <row r="20" spans="2:10" ht="17.5">
      <c r="B20" s="53" t="s">
        <v>72</v>
      </c>
      <c r="C20" s="53" t="s">
        <v>71</v>
      </c>
      <c r="D20" s="53"/>
      <c r="E20" s="23" t="s">
        <v>73</v>
      </c>
      <c r="F20" s="1">
        <f>NPV(Rate,C22:C31)+C21</f>
        <v>5003.8806356378482</v>
      </c>
    </row>
    <row r="21" spans="2:10">
      <c r="B21" s="1">
        <v>0</v>
      </c>
      <c r="C21" s="1">
        <f>'CF Detail'!D8</f>
        <v>-81422.600000000006</v>
      </c>
      <c r="E21" s="23" t="s">
        <v>74</v>
      </c>
      <c r="F21" s="65">
        <f>IRR(C21:C31)</f>
        <v>0.13936280808259102</v>
      </c>
    </row>
    <row r="22" spans="2:10">
      <c r="B22" s="1">
        <v>1</v>
      </c>
      <c r="C22" s="1">
        <f>'CF Detail'!D24</f>
        <v>20694.5</v>
      </c>
      <c r="E22" s="23" t="s">
        <v>75</v>
      </c>
      <c r="F22" s="69">
        <f>MIRR(C21:C31,Rate,Rate)</f>
        <v>0.12669977839273083</v>
      </c>
    </row>
    <row r="23" spans="2:10">
      <c r="B23" s="1">
        <v>2</v>
      </c>
      <c r="C23" s="23">
        <f>'CF Detail'!E24</f>
        <v>25733.3</v>
      </c>
      <c r="E23" s="23" t="s">
        <v>76</v>
      </c>
      <c r="F23" s="43" t="str">
        <f>PAYBACK!C9&amp;" Years"</f>
        <v>5 Years</v>
      </c>
    </row>
    <row r="24" spans="2:10">
      <c r="B24" s="1">
        <v>3</v>
      </c>
      <c r="C24" s="23">
        <f>'CF Detail'!F24</f>
        <v>16915.400000000001</v>
      </c>
      <c r="E24" s="23" t="s">
        <v>77</v>
      </c>
      <c r="F24" s="43" t="str">
        <f>PAYBACK!C17&amp;" Years"</f>
        <v>8 Years</v>
      </c>
    </row>
    <row r="25" spans="2:10">
      <c r="B25" s="1">
        <v>4</v>
      </c>
      <c r="C25" s="23">
        <f>'CF Detail'!G24</f>
        <v>14399.4</v>
      </c>
      <c r="E25" s="23" t="s">
        <v>78</v>
      </c>
      <c r="F25" s="70">
        <f>PMT(Rate,Life,-F20)</f>
        <v>1007.2953898632471</v>
      </c>
    </row>
    <row r="26" spans="2:10">
      <c r="B26" s="1">
        <v>5</v>
      </c>
      <c r="C26" s="23">
        <f>'CF Detail'!H24</f>
        <v>11880</v>
      </c>
      <c r="E26" s="23" t="s">
        <v>140</v>
      </c>
      <c r="F26" s="86">
        <f>F20/-C21</f>
        <v>6.1455672450128687E-2</v>
      </c>
    </row>
    <row r="27" spans="2:10">
      <c r="B27" s="1">
        <v>6</v>
      </c>
      <c r="C27" s="23">
        <f>'CF Detail'!I24</f>
        <v>11880</v>
      </c>
      <c r="E27" s="1"/>
    </row>
    <row r="28" spans="2:10">
      <c r="B28" s="1">
        <v>7</v>
      </c>
      <c r="C28" s="23">
        <f>'CF Detail'!J24</f>
        <v>11880</v>
      </c>
      <c r="E28" s="1"/>
    </row>
    <row r="29" spans="2:10">
      <c r="B29" s="1">
        <v>8</v>
      </c>
      <c r="C29" s="23">
        <f>'CF Detail'!K24</f>
        <v>20080</v>
      </c>
    </row>
    <row r="30" spans="2:10">
      <c r="B30" s="1">
        <v>9</v>
      </c>
      <c r="C30" s="23">
        <f>'CF Detail'!L24</f>
        <v>0</v>
      </c>
    </row>
    <row r="31" spans="2:10">
      <c r="B31" s="1">
        <v>10</v>
      </c>
      <c r="C31" s="1">
        <f>'CF Detail'!M24</f>
        <v>0</v>
      </c>
    </row>
  </sheetData>
  <mergeCells count="6">
    <mergeCell ref="B2:J2"/>
    <mergeCell ref="I4:J4"/>
    <mergeCell ref="B4:G4"/>
    <mergeCell ref="B17:J17"/>
    <mergeCell ref="B19:C19"/>
    <mergeCell ref="E19:F19"/>
  </mergeCells>
  <dataValidations count="2">
    <dataValidation type="list" allowBlank="1" showInputMessage="1" showErrorMessage="1" sqref="F12 G12">
      <formula1>$L$9:$L$10</formula1>
    </dataValidation>
    <dataValidation type="list" allowBlank="1" showInputMessage="1" showErrorMessage="1" sqref="F13 G13">
      <formula1>$L$12:$L$15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5"/>
  <sheetViews>
    <sheetView topLeftCell="A5" zoomScale="115" zoomScaleNormal="115" workbookViewId="0">
      <selection activeCell="C15" sqref="C15:D15"/>
    </sheetView>
  </sheetViews>
  <sheetFormatPr defaultColWidth="8.7265625" defaultRowHeight="14.5"/>
  <cols>
    <col min="1" max="1" width="3.81640625" style="1" customWidth="1"/>
    <col min="2" max="2" width="4.7265625" style="1" customWidth="1"/>
    <col min="3" max="3" width="26.54296875" style="1" customWidth="1"/>
    <col min="4" max="4" width="10.81640625" style="1" customWidth="1"/>
    <col min="5" max="7" width="9.453125" style="1" customWidth="1"/>
    <col min="8" max="10" width="8.26953125" style="1" customWidth="1"/>
    <col min="11" max="11" width="10" style="1" customWidth="1"/>
    <col min="12" max="15" width="8.26953125" style="1" customWidth="1"/>
    <col min="16" max="16384" width="8.7265625" style="1"/>
  </cols>
  <sheetData>
    <row r="1" spans="2:14" ht="15" thickBot="1"/>
    <row r="2" spans="2:14" ht="19.5" customHeight="1" thickBot="1">
      <c r="B2" s="90" t="s">
        <v>25</v>
      </c>
      <c r="C2" s="92"/>
      <c r="D2" s="92"/>
    </row>
    <row r="3" spans="2:14">
      <c r="B3" s="2" t="s">
        <v>15</v>
      </c>
      <c r="C3" s="1" t="s">
        <v>14</v>
      </c>
      <c r="D3" s="1">
        <f>-'Inputs-Outputs'!G5</f>
        <v>-100000</v>
      </c>
    </row>
    <row r="4" spans="2:14">
      <c r="B4" s="2" t="s">
        <v>15</v>
      </c>
      <c r="C4" s="1" t="s">
        <v>5</v>
      </c>
      <c r="D4" s="1">
        <f>-'Inputs-Outputs'!G8</f>
        <v>-10000</v>
      </c>
    </row>
    <row r="5" spans="2:14">
      <c r="B5" s="2" t="s">
        <v>16</v>
      </c>
      <c r="C5" s="1" t="s">
        <v>17</v>
      </c>
      <c r="D5" s="1">
        <f>+'Inputs-Outputs'!F14</f>
        <v>30000</v>
      </c>
    </row>
    <row r="6" spans="2:14">
      <c r="B6" s="2" t="s">
        <v>18</v>
      </c>
      <c r="C6" s="1" t="s">
        <v>19</v>
      </c>
      <c r="D6" s="1">
        <f>'Depn-ATSV'!E66</f>
        <v>-6422.6</v>
      </c>
      <c r="H6" s="2"/>
    </row>
    <row r="7" spans="2:14" ht="16">
      <c r="B7" s="2" t="s">
        <v>18</v>
      </c>
      <c r="C7" s="3" t="s">
        <v>20</v>
      </c>
      <c r="D7" s="3">
        <f>'Inputs-Outputs'!F9-'Inputs-Outputs'!G9</f>
        <v>5000</v>
      </c>
    </row>
    <row r="8" spans="2:14">
      <c r="C8" s="1" t="s">
        <v>21</v>
      </c>
      <c r="D8" s="1">
        <f>SUM(D3:D7)</f>
        <v>-81422.600000000006</v>
      </c>
    </row>
    <row r="9" spans="2:14" ht="6.65" customHeight="1" thickBot="1"/>
    <row r="10" spans="2:14" s="23" customFormat="1" ht="22" customHeight="1" thickBot="1">
      <c r="B10" s="90" t="s">
        <v>69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</row>
    <row r="11" spans="2:14" ht="8.15" customHeight="1"/>
    <row r="12" spans="2:14" s="4" customFormat="1">
      <c r="D12" s="63">
        <v>1</v>
      </c>
      <c r="E12" s="63">
        <v>2</v>
      </c>
      <c r="F12" s="63">
        <v>3</v>
      </c>
      <c r="G12" s="63">
        <v>4</v>
      </c>
      <c r="H12" s="63">
        <v>5</v>
      </c>
      <c r="I12" s="63">
        <v>6</v>
      </c>
      <c r="J12" s="63">
        <v>7</v>
      </c>
      <c r="K12" s="63">
        <v>8</v>
      </c>
      <c r="L12" s="63">
        <v>9</v>
      </c>
      <c r="M12" s="63">
        <v>10</v>
      </c>
    </row>
    <row r="13" spans="2:14">
      <c r="C13" s="23" t="s">
        <v>46</v>
      </c>
      <c r="D13" s="1">
        <f>IF(D$12&gt;Life,"",'Inputs-Outputs'!$G$10-'Inputs-Outputs'!$F$10)</f>
        <v>20000</v>
      </c>
      <c r="E13" s="23">
        <f>IF(E$12&gt;Life,"",'Inputs-Outputs'!$G$10-'Inputs-Outputs'!$F$10)</f>
        <v>20000</v>
      </c>
      <c r="F13" s="23">
        <f>IF(F$12&gt;Life,"",'Inputs-Outputs'!$G$10-'Inputs-Outputs'!$F$10)</f>
        <v>20000</v>
      </c>
      <c r="G13" s="23">
        <f>IF(G$12&gt;Life,"",'Inputs-Outputs'!$G$10-'Inputs-Outputs'!$F$10)</f>
        <v>20000</v>
      </c>
      <c r="H13" s="23">
        <f>IF(H$12&gt;Life,"",'Inputs-Outputs'!$G$10-'Inputs-Outputs'!$F$10)</f>
        <v>20000</v>
      </c>
      <c r="I13" s="23">
        <f>IF(I$12&gt;Life,"",'Inputs-Outputs'!$G$10-'Inputs-Outputs'!$F$10)</f>
        <v>20000</v>
      </c>
      <c r="J13" s="23">
        <f>IF(J$12&gt;Life,"",'Inputs-Outputs'!$G$10-'Inputs-Outputs'!$F$10)</f>
        <v>20000</v>
      </c>
      <c r="K13" s="23">
        <f>IF(K$12&gt;Life,"",'Inputs-Outputs'!$G$10-'Inputs-Outputs'!$F$10)</f>
        <v>20000</v>
      </c>
      <c r="L13" s="23" t="str">
        <f>IF(L$12&gt;Life,"",'Inputs-Outputs'!$G$10-'Inputs-Outputs'!$F$10)</f>
        <v/>
      </c>
      <c r="M13" s="23" t="str">
        <f>IF(M$12&gt;Life,"",'Inputs-Outputs'!$G$10-'Inputs-Outputs'!$F$10)</f>
        <v/>
      </c>
      <c r="N13" s="1">
        <f t="shared" ref="N13:N20" si="0">SUM(D13:M13)</f>
        <v>160000</v>
      </c>
    </row>
    <row r="14" spans="2:14">
      <c r="B14" s="2" t="s">
        <v>15</v>
      </c>
      <c r="C14" s="23" t="s">
        <v>47</v>
      </c>
      <c r="D14" s="23">
        <f>IF(D$12&gt;Life,"",'Inputs-Outputs'!$F$11-'Inputs-Outputs'!$G$11)</f>
        <v>-2000</v>
      </c>
      <c r="E14" s="23">
        <f>IF(E$12&gt;Life,"",'Inputs-Outputs'!$F$11-'Inputs-Outputs'!$G$11)</f>
        <v>-2000</v>
      </c>
      <c r="F14" s="23">
        <f>IF(F$12&gt;Life,"",'Inputs-Outputs'!$F$11-'Inputs-Outputs'!$G$11)</f>
        <v>-2000</v>
      </c>
      <c r="G14" s="23">
        <f>IF(G$12&gt;Life,"",'Inputs-Outputs'!$F$11-'Inputs-Outputs'!$G$11)</f>
        <v>-2000</v>
      </c>
      <c r="H14" s="23">
        <f>IF(H$12&gt;Life,"",'Inputs-Outputs'!$F$11-'Inputs-Outputs'!$G$11)</f>
        <v>-2000</v>
      </c>
      <c r="I14" s="23">
        <f>IF(I$12&gt;Life,"",'Inputs-Outputs'!$F$11-'Inputs-Outputs'!$G$11)</f>
        <v>-2000</v>
      </c>
      <c r="J14" s="23">
        <f>IF(J$12&gt;Life,"",'Inputs-Outputs'!$F$11-'Inputs-Outputs'!$G$11)</f>
        <v>-2000</v>
      </c>
      <c r="K14" s="23">
        <f>IF(K$12&gt;Life,"",'Inputs-Outputs'!$F$11-'Inputs-Outputs'!$G$11)</f>
        <v>-2000</v>
      </c>
      <c r="L14" s="23" t="str">
        <f>IF(L$12&gt;Life,"",'Inputs-Outputs'!$F$11-'Inputs-Outputs'!$G$11)</f>
        <v/>
      </c>
      <c r="M14" s="23" t="str">
        <f>IF(M$12&gt;Life,"",'Inputs-Outputs'!$F$11-'Inputs-Outputs'!$G$11)</f>
        <v/>
      </c>
      <c r="N14" s="1">
        <f t="shared" si="0"/>
        <v>-16000</v>
      </c>
    </row>
    <row r="15" spans="2:14" ht="16">
      <c r="B15" s="2" t="s">
        <v>15</v>
      </c>
      <c r="C15" s="24" t="s">
        <v>48</v>
      </c>
      <c r="D15" s="24">
        <f>IF(D$12&gt;Life,"",-'Depn-ATSV'!C32)</f>
        <v>-25925</v>
      </c>
      <c r="E15" s="24">
        <f>IF(E$12&gt;Life,"",-'Depn-ATSV'!D32)</f>
        <v>-40745</v>
      </c>
      <c r="F15" s="24">
        <f>IF(F$12&gt;Life,"",-'Depn-ATSV'!E32)</f>
        <v>-14810.000000000002</v>
      </c>
      <c r="G15" s="24">
        <f>IF(G$12&gt;Life,"",-'Depn-ATSV'!F32)</f>
        <v>-7410</v>
      </c>
      <c r="H15" s="24">
        <f>IF(H$12&gt;Life,"",-'Depn-ATSV'!G32)</f>
        <v>0</v>
      </c>
      <c r="I15" s="24">
        <f>IF(I$12&gt;Life,"",-'Depn-ATSV'!H32)</f>
        <v>0</v>
      </c>
      <c r="J15" s="24">
        <f>IF(J$12&gt;Life,"",-'Depn-ATSV'!I32)</f>
        <v>0</v>
      </c>
      <c r="K15" s="24">
        <f>IF(K$12&gt;Life,"",-'Depn-ATSV'!J32)</f>
        <v>0</v>
      </c>
      <c r="L15" s="24" t="str">
        <f>IF(L$12&gt;Life,"",-'Depn-ATSV'!K32)</f>
        <v/>
      </c>
      <c r="M15" s="24" t="str">
        <f>IF(M$12&gt;Life,"",-'Depn-ATSV'!L32)</f>
        <v/>
      </c>
      <c r="N15" s="1">
        <f t="shared" si="0"/>
        <v>-88890</v>
      </c>
    </row>
    <row r="16" spans="2:14">
      <c r="C16" s="23" t="s">
        <v>49</v>
      </c>
      <c r="D16" s="23">
        <f t="shared" ref="D16:K16" si="1">SUM(D13:D15)</f>
        <v>-7925</v>
      </c>
      <c r="E16" s="23">
        <f t="shared" si="1"/>
        <v>-22745</v>
      </c>
      <c r="F16" s="23">
        <f t="shared" si="1"/>
        <v>3189.9999999999982</v>
      </c>
      <c r="G16" s="23">
        <f t="shared" si="1"/>
        <v>10590</v>
      </c>
      <c r="H16" s="23">
        <f t="shared" si="1"/>
        <v>18000</v>
      </c>
      <c r="I16" s="23">
        <f t="shared" si="1"/>
        <v>18000</v>
      </c>
      <c r="J16" s="23">
        <f t="shared" si="1"/>
        <v>18000</v>
      </c>
      <c r="K16" s="23">
        <f t="shared" si="1"/>
        <v>18000</v>
      </c>
      <c r="L16" s="23"/>
      <c r="M16" s="23"/>
      <c r="N16" s="1">
        <f t="shared" si="0"/>
        <v>55110</v>
      </c>
    </row>
    <row r="17" spans="2:14" ht="16">
      <c r="B17" s="2" t="s">
        <v>15</v>
      </c>
      <c r="C17" s="24" t="s">
        <v>50</v>
      </c>
      <c r="D17" s="24">
        <f t="shared" ref="D17:M17" si="2">IF(D$12&gt;Life,"",-Tax*D16)</f>
        <v>2694.5</v>
      </c>
      <c r="E17" s="24">
        <f t="shared" si="2"/>
        <v>7733.3</v>
      </c>
      <c r="F17" s="24">
        <f t="shared" si="2"/>
        <v>-1084.5999999999995</v>
      </c>
      <c r="G17" s="24">
        <f t="shared" si="2"/>
        <v>-3600.6000000000004</v>
      </c>
      <c r="H17" s="24">
        <f t="shared" si="2"/>
        <v>-6120</v>
      </c>
      <c r="I17" s="24">
        <f t="shared" si="2"/>
        <v>-6120</v>
      </c>
      <c r="J17" s="24">
        <f t="shared" si="2"/>
        <v>-6120</v>
      </c>
      <c r="K17" s="24">
        <f t="shared" si="2"/>
        <v>-6120</v>
      </c>
      <c r="L17" s="24" t="str">
        <f t="shared" si="2"/>
        <v/>
      </c>
      <c r="M17" s="24" t="str">
        <f t="shared" si="2"/>
        <v/>
      </c>
      <c r="N17" s="1">
        <f t="shared" si="0"/>
        <v>-18737.400000000001</v>
      </c>
    </row>
    <row r="18" spans="2:14">
      <c r="C18" s="23" t="s">
        <v>51</v>
      </c>
      <c r="D18" s="23">
        <f t="shared" ref="D18:K18" si="3">SUM(D16:D17)</f>
        <v>-5230.5</v>
      </c>
      <c r="E18" s="23">
        <f t="shared" si="3"/>
        <v>-15011.7</v>
      </c>
      <c r="F18" s="23">
        <f t="shared" si="3"/>
        <v>2105.3999999999987</v>
      </c>
      <c r="G18" s="23">
        <f t="shared" si="3"/>
        <v>6989.4</v>
      </c>
      <c r="H18" s="23">
        <f t="shared" si="3"/>
        <v>11880</v>
      </c>
      <c r="I18" s="23">
        <f t="shared" si="3"/>
        <v>11880</v>
      </c>
      <c r="J18" s="23">
        <f t="shared" si="3"/>
        <v>11880</v>
      </c>
      <c r="K18" s="23">
        <f t="shared" si="3"/>
        <v>11880</v>
      </c>
      <c r="L18" s="23"/>
      <c r="M18" s="23"/>
      <c r="N18" s="1">
        <f t="shared" si="0"/>
        <v>36372.6</v>
      </c>
    </row>
    <row r="19" spans="2:14" ht="16">
      <c r="C19" s="24" t="s">
        <v>52</v>
      </c>
      <c r="D19" s="24">
        <f t="shared" ref="D19:M19" si="4">IF(D$12&gt;Life,"",-D15)</f>
        <v>25925</v>
      </c>
      <c r="E19" s="24">
        <f t="shared" si="4"/>
        <v>40745</v>
      </c>
      <c r="F19" s="24">
        <f t="shared" si="4"/>
        <v>14810.000000000002</v>
      </c>
      <c r="G19" s="24">
        <f t="shared" si="4"/>
        <v>7410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 t="str">
        <f t="shared" si="4"/>
        <v/>
      </c>
      <c r="M19" s="24" t="str">
        <f t="shared" si="4"/>
        <v/>
      </c>
      <c r="N19" s="1">
        <f t="shared" si="0"/>
        <v>88890</v>
      </c>
    </row>
    <row r="20" spans="2:14">
      <c r="C20" s="23" t="s">
        <v>58</v>
      </c>
      <c r="D20" s="23">
        <f t="shared" ref="D20:K20" si="5">SUM(D18:D19)</f>
        <v>20694.5</v>
      </c>
      <c r="E20" s="23">
        <f t="shared" si="5"/>
        <v>25733.3</v>
      </c>
      <c r="F20" s="23">
        <f t="shared" si="5"/>
        <v>16915.400000000001</v>
      </c>
      <c r="G20" s="23">
        <f t="shared" si="5"/>
        <v>14399.4</v>
      </c>
      <c r="H20" s="23">
        <f t="shared" si="5"/>
        <v>11880</v>
      </c>
      <c r="I20" s="23">
        <f t="shared" si="5"/>
        <v>11880</v>
      </c>
      <c r="J20" s="23">
        <f t="shared" si="5"/>
        <v>11880</v>
      </c>
      <c r="K20" s="23">
        <f t="shared" si="5"/>
        <v>11880</v>
      </c>
      <c r="L20" s="23"/>
      <c r="M20" s="23"/>
      <c r="N20" s="1">
        <f t="shared" si="0"/>
        <v>125262.6</v>
      </c>
    </row>
    <row r="21" spans="2:14" ht="6.65" customHeight="1"/>
    <row r="22" spans="2:14">
      <c r="C22" s="23" t="s">
        <v>57</v>
      </c>
      <c r="D22" s="64">
        <f t="shared" ref="D22:M22" si="6">IF(D$12=Life,-$D$7,IF(D$12&lt;Life,0,""))</f>
        <v>0</v>
      </c>
      <c r="E22" s="64">
        <f t="shared" si="6"/>
        <v>0</v>
      </c>
      <c r="F22" s="64">
        <f t="shared" si="6"/>
        <v>0</v>
      </c>
      <c r="G22" s="64">
        <f t="shared" si="6"/>
        <v>0</v>
      </c>
      <c r="H22" s="64">
        <f t="shared" si="6"/>
        <v>0</v>
      </c>
      <c r="I22" s="64">
        <f t="shared" si="6"/>
        <v>0</v>
      </c>
      <c r="J22" s="64">
        <f t="shared" si="6"/>
        <v>0</v>
      </c>
      <c r="K22" s="64">
        <f t="shared" si="6"/>
        <v>-5000</v>
      </c>
      <c r="L22" s="64" t="str">
        <f t="shared" si="6"/>
        <v/>
      </c>
      <c r="M22" s="64" t="str">
        <f t="shared" si="6"/>
        <v/>
      </c>
      <c r="N22" s="1">
        <f>SUM(D22:M22)</f>
        <v>-5000</v>
      </c>
    </row>
    <row r="23" spans="2:14" ht="16">
      <c r="C23" s="24" t="s">
        <v>59</v>
      </c>
      <c r="D23" s="24">
        <f>IF(D$12=Life,'Depn-ATSV'!$K$84,IF(D$12&lt;Life,0,""))</f>
        <v>0</v>
      </c>
      <c r="E23" s="24">
        <f>IF(E$12=Life,'Depn-ATSV'!$K$84,IF(E$12&lt;Life,0,""))</f>
        <v>0</v>
      </c>
      <c r="F23" s="24">
        <f>IF(F$12=Life,'Depn-ATSV'!$K$84,IF(F$12&lt;Life,0,""))</f>
        <v>0</v>
      </c>
      <c r="G23" s="24">
        <f>IF(G$12=Life,'Depn-ATSV'!$K$84,IF(G$12&lt;Life,0,""))</f>
        <v>0</v>
      </c>
      <c r="H23" s="24">
        <f>IF(H$12=Life,'Depn-ATSV'!$K$84,IF(H$12&lt;Life,0,""))</f>
        <v>0</v>
      </c>
      <c r="I23" s="24">
        <f>IF(I$12=Life,'Depn-ATSV'!$K$84,IF(I$12&lt;Life,0,""))</f>
        <v>0</v>
      </c>
      <c r="J23" s="24">
        <f>IF(J$12=Life,'Depn-ATSV'!$K$84,IF(J$12&lt;Life,0,""))</f>
        <v>0</v>
      </c>
      <c r="K23" s="24">
        <f>IF(K$12=Life,'Depn-ATSV'!$K$84,IF(K$12&lt;Life,0,""))</f>
        <v>13200</v>
      </c>
      <c r="L23" s="24" t="str">
        <f>IF(L$12=Life,'Depn-ATSV'!$K$84,IF(L$12&lt;Life,0,""))</f>
        <v/>
      </c>
      <c r="M23" s="24" t="str">
        <f>IF(M$12=Life,'Depn-ATSV'!$K$84,IF(M$12&lt;Life,0,""))</f>
        <v/>
      </c>
      <c r="N23" s="1">
        <f>SUM(D23:M23)</f>
        <v>13200</v>
      </c>
    </row>
    <row r="24" spans="2:14">
      <c r="C24" s="23" t="s">
        <v>67</v>
      </c>
      <c r="D24" s="1">
        <f t="shared" ref="D24:K24" si="7">SUM(D20:D23)</f>
        <v>20694.5</v>
      </c>
      <c r="E24" s="23">
        <f t="shared" si="7"/>
        <v>25733.3</v>
      </c>
      <c r="F24" s="23">
        <f t="shared" si="7"/>
        <v>16915.400000000001</v>
      </c>
      <c r="G24" s="23">
        <f t="shared" si="7"/>
        <v>14399.4</v>
      </c>
      <c r="H24" s="23">
        <f t="shared" si="7"/>
        <v>11880</v>
      </c>
      <c r="I24" s="23">
        <f t="shared" si="7"/>
        <v>11880</v>
      </c>
      <c r="J24" s="23">
        <f t="shared" si="7"/>
        <v>11880</v>
      </c>
      <c r="K24" s="23">
        <f t="shared" si="7"/>
        <v>20080</v>
      </c>
      <c r="L24" s="23"/>
      <c r="M24" s="23"/>
      <c r="N24" s="1">
        <f>SUM(D24:M24)</f>
        <v>133462.6</v>
      </c>
    </row>
    <row r="25" spans="2:14" ht="6.65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4"/>
  <sheetViews>
    <sheetView topLeftCell="A12" zoomScale="85" zoomScaleNormal="85" workbookViewId="0">
      <selection activeCell="H35" sqref="H35"/>
    </sheetView>
  </sheetViews>
  <sheetFormatPr defaultRowHeight="14.5"/>
  <cols>
    <col min="1" max="1" width="4.81640625" style="42" customWidth="1"/>
    <col min="2" max="2" width="13.54296875" customWidth="1"/>
    <col min="3" max="4" width="9.54296875" customWidth="1"/>
    <col min="5" max="5" width="12.7265625" customWidth="1"/>
    <col min="6" max="9" width="9.54296875" customWidth="1"/>
    <col min="11" max="11" width="10.1796875" bestFit="1" customWidth="1"/>
    <col min="13" max="13" width="10.1796875" customWidth="1"/>
  </cols>
  <sheetData>
    <row r="1" spans="1:7">
      <c r="B1" s="22"/>
      <c r="C1" s="22"/>
      <c r="D1" s="22"/>
      <c r="E1" s="22"/>
      <c r="F1" s="22"/>
      <c r="G1" s="22"/>
    </row>
    <row r="2" spans="1:7" ht="19" thickBot="1">
      <c r="B2" s="94" t="s">
        <v>32</v>
      </c>
      <c r="C2" s="94"/>
      <c r="D2" s="94"/>
      <c r="E2" s="94"/>
      <c r="F2" s="94"/>
      <c r="G2" s="22"/>
    </row>
    <row r="3" spans="1:7" ht="1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" thickBot="1">
      <c r="A16" s="42"/>
      <c r="B16" s="96" t="s">
        <v>80</v>
      </c>
      <c r="C16" s="96"/>
      <c r="D16" s="96"/>
      <c r="E16" s="96"/>
      <c r="F16" s="96"/>
      <c r="G16" s="96"/>
    </row>
    <row r="17" spans="1:15" s="22" customFormat="1">
      <c r="A17" s="42"/>
      <c r="B17" s="55" t="s">
        <v>33</v>
      </c>
      <c r="C17" s="55"/>
      <c r="D17" s="55"/>
      <c r="E17" s="55"/>
      <c r="F17" s="55" t="s">
        <v>55</v>
      </c>
    </row>
    <row r="18" spans="1:15" s="22" customFormat="1" ht="5.5" customHeight="1">
      <c r="A18" s="42"/>
    </row>
    <row r="19" spans="1:15" s="22" customFormat="1">
      <c r="A19" s="42"/>
      <c r="B19" s="56" t="s">
        <v>34</v>
      </c>
      <c r="C19" s="23">
        <f>'Inputs-Outputs'!F5</f>
        <v>50000</v>
      </c>
      <c r="F19" s="56" t="s">
        <v>34</v>
      </c>
      <c r="G19" s="23">
        <f>'Inputs-Outputs'!G5</f>
        <v>100000</v>
      </c>
    </row>
    <row r="20" spans="1:15" s="22" customFormat="1">
      <c r="A20" s="42"/>
      <c r="B20" s="56" t="s">
        <v>35</v>
      </c>
      <c r="C20" s="23" t="str">
        <f>'Inputs-Outputs'!F12</f>
        <v>MACRS</v>
      </c>
      <c r="F20" s="56" t="s">
        <v>35</v>
      </c>
      <c r="G20" s="23" t="str">
        <f>'Inputs-Outputs'!G12</f>
        <v>MACRS</v>
      </c>
      <c r="I20" s="23">
        <f>'Inputs-Outputs'!L12</f>
        <v>3</v>
      </c>
    </row>
    <row r="21" spans="1:15" s="22" customFormat="1">
      <c r="A21" s="42"/>
      <c r="B21" s="56" t="s">
        <v>36</v>
      </c>
      <c r="C21" s="23">
        <f>'Inputs-Outputs'!F13</f>
        <v>3</v>
      </c>
      <c r="F21" s="56" t="s">
        <v>36</v>
      </c>
      <c r="G21" s="23">
        <f>'Inputs-Outputs'!G13</f>
        <v>3</v>
      </c>
      <c r="H21" s="66">
        <f>IF(G20="SL",G21,G21+1)</f>
        <v>4</v>
      </c>
      <c r="I21" s="23">
        <f>'Inputs-Outputs'!L13</f>
        <v>5</v>
      </c>
    </row>
    <row r="22" spans="1:15" s="22" customFormat="1" ht="15" thickBot="1">
      <c r="A22" s="42"/>
      <c r="B22" s="57" t="s">
        <v>37</v>
      </c>
      <c r="C22" s="25">
        <f>'Inputs-Outputs'!F7</f>
        <v>2</v>
      </c>
      <c r="D22" s="40"/>
      <c r="E22" s="40"/>
      <c r="F22" s="40"/>
      <c r="G22" s="25"/>
      <c r="H22" s="40"/>
      <c r="I22" s="25">
        <f>'Inputs-Outputs'!L7</f>
        <v>0</v>
      </c>
    </row>
    <row r="23" spans="1:15" s="22" customFormat="1">
      <c r="A23" s="42"/>
    </row>
    <row r="24" spans="1:15">
      <c r="A24" s="45"/>
      <c r="B24" s="61" t="s">
        <v>81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>
      <c r="A25" s="47"/>
      <c r="B25" s="58" t="s">
        <v>27</v>
      </c>
      <c r="C25" s="46">
        <v>1</v>
      </c>
      <c r="D25" s="46">
        <v>2</v>
      </c>
      <c r="E25" s="46">
        <v>3</v>
      </c>
      <c r="F25" s="46">
        <v>4</v>
      </c>
      <c r="G25" s="46">
        <v>5</v>
      </c>
      <c r="H25" s="46">
        <v>6</v>
      </c>
      <c r="I25" s="46">
        <v>7</v>
      </c>
      <c r="J25" s="46">
        <v>8</v>
      </c>
      <c r="K25" s="46">
        <v>9</v>
      </c>
      <c r="L25" s="46">
        <v>10</v>
      </c>
      <c r="M25" s="46"/>
      <c r="N25" s="46"/>
      <c r="O25" s="46"/>
    </row>
    <row r="26" spans="1:15" s="22" customFormat="1">
      <c r="A26" s="47"/>
      <c r="B26" s="46"/>
      <c r="C26" s="48">
        <f>IF(C25&gt;$C$22,0,VLOOKUP($B$35,$B$36:$L$43,C25+1,FALSE))</f>
        <v>16665</v>
      </c>
      <c r="D26" s="48">
        <f t="shared" ref="D26:L26" si="0">IF(D25&gt;$C$22,0,VLOOKUP($B$35,$B$36:$L$43,D25+1,FALSE))</f>
        <v>22225</v>
      </c>
      <c r="E26" s="48">
        <f t="shared" si="0"/>
        <v>0</v>
      </c>
      <c r="F26" s="48">
        <f t="shared" si="0"/>
        <v>0</v>
      </c>
      <c r="G26" s="48">
        <f t="shared" si="0"/>
        <v>0</v>
      </c>
      <c r="H26" s="48">
        <f t="shared" si="0"/>
        <v>0</v>
      </c>
      <c r="I26" s="48">
        <f t="shared" si="0"/>
        <v>0</v>
      </c>
      <c r="J26" s="48">
        <f t="shared" si="0"/>
        <v>0</v>
      </c>
      <c r="K26" s="48">
        <f t="shared" si="0"/>
        <v>0</v>
      </c>
      <c r="L26" s="48">
        <f t="shared" si="0"/>
        <v>0</v>
      </c>
      <c r="M26" s="23">
        <f>SUM(C26:L26)</f>
        <v>38890</v>
      </c>
      <c r="N26" s="48"/>
      <c r="O26" s="46"/>
    </row>
    <row r="27" spans="1:15" s="22" customFormat="1">
      <c r="A27" s="4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s="22" customFormat="1">
      <c r="A28" s="42"/>
      <c r="B28" s="55" t="s">
        <v>82</v>
      </c>
    </row>
    <row r="29" spans="1:15">
      <c r="B29" s="59" t="s">
        <v>27</v>
      </c>
      <c r="C29">
        <v>1</v>
      </c>
      <c r="D29">
        <v>2</v>
      </c>
      <c r="E29">
        <v>3</v>
      </c>
      <c r="F29">
        <v>4</v>
      </c>
      <c r="G29">
        <v>5</v>
      </c>
      <c r="H29">
        <v>6</v>
      </c>
      <c r="I29">
        <v>7</v>
      </c>
      <c r="J29">
        <v>8</v>
      </c>
      <c r="K29">
        <v>9</v>
      </c>
      <c r="L29">
        <v>10</v>
      </c>
      <c r="M29" s="22" t="s">
        <v>45</v>
      </c>
    </row>
    <row r="30" spans="1:15" s="22" customFormat="1">
      <c r="A30" s="42"/>
      <c r="B30" s="59" t="s">
        <v>54</v>
      </c>
      <c r="C30" s="23">
        <f>IF(C29&gt;$H$21,0,VLOOKUP($B$46,$B$47:$L$54,C29+1,FALSE))</f>
        <v>33330</v>
      </c>
      <c r="D30" s="23">
        <f t="shared" ref="D30:L30" si="1">IF(D29&gt;$H$21,0,VLOOKUP($B$46,$B$47:$L$54,D29+1,FALSE))</f>
        <v>44450</v>
      </c>
      <c r="E30" s="23">
        <f t="shared" si="1"/>
        <v>14810.000000000002</v>
      </c>
      <c r="F30" s="23">
        <f t="shared" si="1"/>
        <v>7410</v>
      </c>
      <c r="G30" s="23">
        <f t="shared" si="1"/>
        <v>0</v>
      </c>
      <c r="H30" s="23">
        <f t="shared" si="1"/>
        <v>0</v>
      </c>
      <c r="I30" s="23">
        <f t="shared" si="1"/>
        <v>0</v>
      </c>
      <c r="J30" s="23">
        <f t="shared" si="1"/>
        <v>0</v>
      </c>
      <c r="K30" s="23">
        <f t="shared" si="1"/>
        <v>0</v>
      </c>
      <c r="L30" s="23">
        <f t="shared" si="1"/>
        <v>0</v>
      </c>
      <c r="M30" s="23">
        <f>SUM(C30:L30)</f>
        <v>100000</v>
      </c>
    </row>
    <row r="31" spans="1:15" ht="16">
      <c r="B31" s="60" t="s">
        <v>53</v>
      </c>
      <c r="C31" s="97">
        <f>IF(C29+$C$22&gt;10,0,VLOOKUP($B$35,$B$36:$L$43,C29+$C$22+1,FALSE))</f>
        <v>7405.0000000000009</v>
      </c>
      <c r="D31" s="97">
        <f t="shared" ref="D31:L31" si="2">IF(D29+$C$22&gt;10,0,VLOOKUP($B$35,$B$36:$L$43,D29+$C$22+1,FALSE))</f>
        <v>3705</v>
      </c>
      <c r="E31" s="97">
        <f t="shared" si="2"/>
        <v>0</v>
      </c>
      <c r="F31" s="97">
        <f t="shared" si="2"/>
        <v>0</v>
      </c>
      <c r="G31" s="97">
        <f t="shared" si="2"/>
        <v>0</v>
      </c>
      <c r="H31" s="97">
        <f t="shared" si="2"/>
        <v>0</v>
      </c>
      <c r="I31" s="97">
        <f t="shared" si="2"/>
        <v>0</v>
      </c>
      <c r="J31" s="97">
        <f t="shared" si="2"/>
        <v>0</v>
      </c>
      <c r="K31" s="97">
        <f t="shared" si="2"/>
        <v>0</v>
      </c>
      <c r="L31" s="97">
        <f t="shared" si="2"/>
        <v>0</v>
      </c>
      <c r="M31" s="23">
        <f>SUM(C31:L31)+M26</f>
        <v>50000</v>
      </c>
    </row>
    <row r="32" spans="1:15">
      <c r="B32" s="59" t="s">
        <v>56</v>
      </c>
      <c r="C32" s="23">
        <f>C30-C31</f>
        <v>25925</v>
      </c>
      <c r="D32" s="23">
        <f t="shared" ref="D32:L32" si="3">D30-D31</f>
        <v>40745</v>
      </c>
      <c r="E32" s="23">
        <f t="shared" si="3"/>
        <v>14810.000000000002</v>
      </c>
      <c r="F32" s="23">
        <f t="shared" si="3"/>
        <v>7410</v>
      </c>
      <c r="G32" s="23">
        <f t="shared" si="3"/>
        <v>0</v>
      </c>
      <c r="H32" s="23">
        <f t="shared" si="3"/>
        <v>0</v>
      </c>
      <c r="I32" s="23">
        <f t="shared" si="3"/>
        <v>0</v>
      </c>
      <c r="J32" s="23">
        <f t="shared" si="3"/>
        <v>0</v>
      </c>
      <c r="K32" s="23">
        <f t="shared" si="3"/>
        <v>0</v>
      </c>
      <c r="L32" s="23">
        <f t="shared" si="3"/>
        <v>0</v>
      </c>
    </row>
    <row r="33" spans="1:13" s="22" customFormat="1">
      <c r="A33" s="42"/>
      <c r="B33" s="59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3" s="22" customFormat="1">
      <c r="A34" s="42"/>
      <c r="B34" s="59" t="str">
        <f>IF(C20="MACRS","M","S")</f>
        <v>M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3" s="22" customFormat="1">
      <c r="A35" s="42"/>
      <c r="B35" s="59" t="str">
        <f>B34&amp;C21</f>
        <v>M3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3" s="22" customFormat="1">
      <c r="A36" s="42">
        <v>3</v>
      </c>
      <c r="B36" s="59" t="s">
        <v>85</v>
      </c>
      <c r="C36" s="23">
        <f>$C$19/$C$21</f>
        <v>16666.666666666668</v>
      </c>
      <c r="D36" s="23">
        <f t="shared" ref="D36:E36" si="4">$C$19/$C$21</f>
        <v>16666.666666666668</v>
      </c>
      <c r="E36" s="23">
        <f t="shared" si="4"/>
        <v>16666.666666666668</v>
      </c>
      <c r="F36" s="23"/>
      <c r="G36" s="23"/>
      <c r="H36" s="23"/>
      <c r="I36" s="23"/>
      <c r="J36" s="23"/>
      <c r="K36" s="23"/>
      <c r="L36" s="23"/>
    </row>
    <row r="37" spans="1:13" s="22" customFormat="1">
      <c r="A37" s="42">
        <v>5</v>
      </c>
      <c r="B37" s="59" t="s">
        <v>86</v>
      </c>
      <c r="C37" s="23">
        <f t="shared" ref="C37:L39" si="5">$C$19/$C$21</f>
        <v>16666.666666666668</v>
      </c>
      <c r="D37" s="23">
        <f t="shared" si="5"/>
        <v>16666.666666666668</v>
      </c>
      <c r="E37" s="23">
        <f t="shared" si="5"/>
        <v>16666.666666666668</v>
      </c>
      <c r="F37" s="23">
        <f t="shared" si="5"/>
        <v>16666.666666666668</v>
      </c>
      <c r="G37" s="23">
        <f t="shared" si="5"/>
        <v>16666.666666666668</v>
      </c>
      <c r="H37" s="23"/>
      <c r="I37" s="23"/>
      <c r="J37" s="23"/>
      <c r="K37" s="23"/>
      <c r="L37" s="23"/>
    </row>
    <row r="38" spans="1:13" s="22" customFormat="1">
      <c r="A38" s="42">
        <v>7</v>
      </c>
      <c r="B38" s="59" t="s">
        <v>87</v>
      </c>
      <c r="C38" s="23">
        <f t="shared" si="5"/>
        <v>16666.666666666668</v>
      </c>
      <c r="D38" s="23">
        <f t="shared" si="5"/>
        <v>16666.666666666668</v>
      </c>
      <c r="E38" s="23">
        <f t="shared" si="5"/>
        <v>16666.666666666668</v>
      </c>
      <c r="F38" s="23">
        <f t="shared" si="5"/>
        <v>16666.666666666668</v>
      </c>
      <c r="G38" s="23">
        <f t="shared" si="5"/>
        <v>16666.666666666668</v>
      </c>
      <c r="H38" s="23">
        <f t="shared" si="5"/>
        <v>16666.666666666668</v>
      </c>
      <c r="I38" s="23">
        <f t="shared" si="5"/>
        <v>16666.666666666668</v>
      </c>
      <c r="J38" s="23"/>
      <c r="K38" s="23"/>
      <c r="L38" s="23"/>
    </row>
    <row r="39" spans="1:13" s="22" customFormat="1">
      <c r="A39" s="42">
        <v>10</v>
      </c>
      <c r="B39" s="59" t="s">
        <v>88</v>
      </c>
      <c r="C39" s="23">
        <f t="shared" si="5"/>
        <v>16666.666666666668</v>
      </c>
      <c r="D39" s="23">
        <f t="shared" si="5"/>
        <v>16666.666666666668</v>
      </c>
      <c r="E39" s="23">
        <f t="shared" si="5"/>
        <v>16666.666666666668</v>
      </c>
      <c r="F39" s="23">
        <f t="shared" si="5"/>
        <v>16666.666666666668</v>
      </c>
      <c r="G39" s="23">
        <f t="shared" si="5"/>
        <v>16666.666666666668</v>
      </c>
      <c r="H39" s="23">
        <f t="shared" si="5"/>
        <v>16666.666666666668</v>
      </c>
      <c r="I39" s="23">
        <f t="shared" si="5"/>
        <v>16666.666666666668</v>
      </c>
      <c r="J39" s="23">
        <f t="shared" si="5"/>
        <v>16666.666666666668</v>
      </c>
      <c r="K39" s="23">
        <f t="shared" si="5"/>
        <v>16666.666666666668</v>
      </c>
      <c r="L39" s="23">
        <f t="shared" si="5"/>
        <v>16666.666666666668</v>
      </c>
    </row>
    <row r="40" spans="1:13" s="22" customFormat="1">
      <c r="A40" s="42">
        <v>3</v>
      </c>
      <c r="B40" s="59" t="s">
        <v>89</v>
      </c>
      <c r="C40" s="23">
        <f>VLOOKUP(C$29,$B$4:$F$14,2)*$C$19</f>
        <v>16665</v>
      </c>
      <c r="D40" s="23">
        <f t="shared" ref="D40:H40" si="6">VLOOKUP(D29,$B$4:$F$14,2)*$C$19</f>
        <v>22225</v>
      </c>
      <c r="E40" s="23">
        <f t="shared" si="6"/>
        <v>7405.0000000000009</v>
      </c>
      <c r="F40" s="23">
        <f t="shared" si="6"/>
        <v>3705</v>
      </c>
      <c r="G40" s="23">
        <f>VLOOKUP(G29,$B$4:$F$14,2)*$C$19</f>
        <v>0</v>
      </c>
      <c r="H40" s="23">
        <f t="shared" si="6"/>
        <v>0</v>
      </c>
      <c r="I40" s="23"/>
      <c r="J40" s="23"/>
      <c r="K40" s="23"/>
      <c r="L40" s="23"/>
      <c r="M40" s="23">
        <f>SUM(C40:L40)</f>
        <v>50000</v>
      </c>
    </row>
    <row r="41" spans="1:13" s="22" customFormat="1">
      <c r="A41" s="42">
        <v>5</v>
      </c>
      <c r="B41" s="59" t="s">
        <v>90</v>
      </c>
      <c r="C41" s="23">
        <f>VLOOKUP(C$29,$B$4:$F$14,3)*$C$19</f>
        <v>10000</v>
      </c>
      <c r="D41" s="23">
        <f t="shared" ref="D41:L41" si="7">VLOOKUP(D$29,$B$4:$F$14,3)*$C$19</f>
        <v>16000</v>
      </c>
      <c r="E41" s="23">
        <f t="shared" si="7"/>
        <v>9600</v>
      </c>
      <c r="F41" s="23">
        <f t="shared" si="7"/>
        <v>5760</v>
      </c>
      <c r="G41" s="23">
        <f t="shared" si="7"/>
        <v>5760</v>
      </c>
      <c r="H41" s="23">
        <f t="shared" si="7"/>
        <v>2880</v>
      </c>
      <c r="I41" s="23">
        <f t="shared" si="7"/>
        <v>0</v>
      </c>
      <c r="J41" s="23">
        <f t="shared" si="7"/>
        <v>0</v>
      </c>
      <c r="K41" s="23">
        <f t="shared" si="7"/>
        <v>0</v>
      </c>
      <c r="L41" s="23">
        <f t="shared" si="7"/>
        <v>0</v>
      </c>
      <c r="M41" s="23">
        <f>SUM(C41:L41)</f>
        <v>50000</v>
      </c>
    </row>
    <row r="42" spans="1:13" s="22" customFormat="1">
      <c r="A42" s="42">
        <v>7</v>
      </c>
      <c r="B42" s="59" t="s">
        <v>91</v>
      </c>
      <c r="C42" s="23">
        <f>VLOOKUP(C$29,$B$4:$F$14,4)*$C$19</f>
        <v>7145</v>
      </c>
      <c r="D42" s="23">
        <f t="shared" ref="D42:L42" si="8">VLOOKUP(D$29,$B$4:$F$14,4)*$C$19</f>
        <v>12245</v>
      </c>
      <c r="E42" s="23">
        <f t="shared" si="8"/>
        <v>8745</v>
      </c>
      <c r="F42" s="23">
        <f t="shared" si="8"/>
        <v>6245</v>
      </c>
      <c r="G42" s="23">
        <f t="shared" si="8"/>
        <v>4465</v>
      </c>
      <c r="H42" s="23">
        <f t="shared" si="8"/>
        <v>4460</v>
      </c>
      <c r="I42" s="23">
        <f t="shared" si="8"/>
        <v>4465</v>
      </c>
      <c r="J42" s="23">
        <f t="shared" si="8"/>
        <v>2230</v>
      </c>
      <c r="K42" s="23">
        <f t="shared" si="8"/>
        <v>0</v>
      </c>
      <c r="L42" s="23">
        <f t="shared" si="8"/>
        <v>0</v>
      </c>
      <c r="M42" s="23">
        <f>SUM(C42:L42)</f>
        <v>50000</v>
      </c>
    </row>
    <row r="43" spans="1:13" s="22" customFormat="1">
      <c r="A43" s="42">
        <v>10</v>
      </c>
      <c r="B43" s="59" t="s">
        <v>92</v>
      </c>
      <c r="C43" s="23">
        <f>VLOOKUP(C$29,$B$4:$F$14,5)*$C$19</f>
        <v>5000</v>
      </c>
      <c r="D43" s="23">
        <f t="shared" ref="D43:L43" si="9">VLOOKUP(D$29,$B$4:$F$14,5)*$C$19</f>
        <v>9000</v>
      </c>
      <c r="E43" s="23">
        <f t="shared" si="9"/>
        <v>7199.9999999999991</v>
      </c>
      <c r="F43" s="23">
        <f t="shared" si="9"/>
        <v>5760</v>
      </c>
      <c r="G43" s="23">
        <f t="shared" si="9"/>
        <v>4610</v>
      </c>
      <c r="H43" s="23">
        <f t="shared" si="9"/>
        <v>3685</v>
      </c>
      <c r="I43" s="23">
        <f t="shared" si="9"/>
        <v>3275</v>
      </c>
      <c r="J43" s="23">
        <f t="shared" si="9"/>
        <v>3275</v>
      </c>
      <c r="K43" s="23">
        <f t="shared" si="9"/>
        <v>3280.0000000000005</v>
      </c>
      <c r="L43" s="23">
        <f t="shared" si="9"/>
        <v>3275</v>
      </c>
    </row>
    <row r="44" spans="1:13" s="22" customFormat="1">
      <c r="A44" s="42"/>
      <c r="B44" s="59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3" s="22" customFormat="1">
      <c r="A45" s="42"/>
      <c r="B45" s="59" t="str">
        <f>IF(G20="MACRS","M","S")</f>
        <v>M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3" s="22" customFormat="1">
      <c r="A46" s="42"/>
      <c r="B46" s="59" t="str">
        <f>B45&amp;G21</f>
        <v>M3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3" s="22" customFormat="1">
      <c r="A47" s="42">
        <v>3</v>
      </c>
      <c r="B47" s="59" t="s">
        <v>85</v>
      </c>
      <c r="C47" s="23">
        <f>$G$19/$G$21</f>
        <v>33333.333333333336</v>
      </c>
      <c r="D47" s="23">
        <f t="shared" ref="D47:E47" si="10">$G$19/$G$21</f>
        <v>33333.333333333336</v>
      </c>
      <c r="E47" s="23">
        <f t="shared" si="10"/>
        <v>33333.333333333336</v>
      </c>
      <c r="F47" s="23"/>
      <c r="G47" s="23"/>
      <c r="H47" s="23"/>
      <c r="I47" s="23"/>
      <c r="J47" s="23"/>
      <c r="K47" s="23"/>
      <c r="L47" s="23"/>
    </row>
    <row r="48" spans="1:13" s="22" customFormat="1">
      <c r="A48" s="42">
        <v>5</v>
      </c>
      <c r="B48" s="59" t="s">
        <v>86</v>
      </c>
      <c r="C48" s="23">
        <f t="shared" ref="C48:L50" si="11">$G$19/$G$21</f>
        <v>33333.333333333336</v>
      </c>
      <c r="D48" s="23">
        <f t="shared" si="11"/>
        <v>33333.333333333336</v>
      </c>
      <c r="E48" s="23">
        <f t="shared" si="11"/>
        <v>33333.333333333336</v>
      </c>
      <c r="F48" s="23">
        <f t="shared" si="11"/>
        <v>33333.333333333336</v>
      </c>
      <c r="G48" s="23">
        <f t="shared" si="11"/>
        <v>33333.333333333336</v>
      </c>
      <c r="H48" s="23"/>
      <c r="I48" s="23"/>
      <c r="J48" s="23"/>
      <c r="K48" s="23"/>
      <c r="L48" s="23"/>
    </row>
    <row r="49" spans="1:13" s="22" customFormat="1">
      <c r="A49" s="42">
        <v>7</v>
      </c>
      <c r="B49" s="59" t="s">
        <v>87</v>
      </c>
      <c r="C49" s="23">
        <f t="shared" si="11"/>
        <v>33333.333333333336</v>
      </c>
      <c r="D49" s="23">
        <f t="shared" si="11"/>
        <v>33333.333333333336</v>
      </c>
      <c r="E49" s="23">
        <f t="shared" si="11"/>
        <v>33333.333333333336</v>
      </c>
      <c r="F49" s="23">
        <f t="shared" si="11"/>
        <v>33333.333333333336</v>
      </c>
      <c r="G49" s="23">
        <f t="shared" si="11"/>
        <v>33333.333333333336</v>
      </c>
      <c r="H49" s="23">
        <f t="shared" si="11"/>
        <v>33333.333333333336</v>
      </c>
      <c r="I49" s="23">
        <f t="shared" si="11"/>
        <v>33333.333333333336</v>
      </c>
      <c r="J49" s="23"/>
      <c r="K49" s="23"/>
      <c r="L49" s="23"/>
    </row>
    <row r="50" spans="1:13" s="22" customFormat="1">
      <c r="A50" s="42">
        <v>10</v>
      </c>
      <c r="B50" s="59" t="s">
        <v>88</v>
      </c>
      <c r="C50" s="23">
        <f t="shared" si="11"/>
        <v>33333.333333333336</v>
      </c>
      <c r="D50" s="23">
        <f t="shared" si="11"/>
        <v>33333.333333333336</v>
      </c>
      <c r="E50" s="23">
        <f t="shared" si="11"/>
        <v>33333.333333333336</v>
      </c>
      <c r="F50" s="23">
        <f t="shared" si="11"/>
        <v>33333.333333333336</v>
      </c>
      <c r="G50" s="23">
        <f t="shared" si="11"/>
        <v>33333.333333333336</v>
      </c>
      <c r="H50" s="23">
        <f t="shared" si="11"/>
        <v>33333.333333333336</v>
      </c>
      <c r="I50" s="23">
        <f t="shared" si="11"/>
        <v>33333.333333333336</v>
      </c>
      <c r="J50" s="23">
        <f t="shared" si="11"/>
        <v>33333.333333333336</v>
      </c>
      <c r="K50" s="23">
        <f t="shared" si="11"/>
        <v>33333.333333333336</v>
      </c>
      <c r="L50" s="23">
        <f t="shared" si="11"/>
        <v>33333.333333333336</v>
      </c>
    </row>
    <row r="51" spans="1:13" s="22" customFormat="1">
      <c r="A51" s="42">
        <v>3</v>
      </c>
      <c r="B51" s="59" t="s">
        <v>89</v>
      </c>
      <c r="C51" s="23">
        <f>VLOOKUP(C$29,$B$4:$F$14,2)*$G$19</f>
        <v>33330</v>
      </c>
      <c r="D51" s="23">
        <f t="shared" ref="D51:F51" si="12">VLOOKUP(D$29,$B$4:$F$14,2)*$G$19</f>
        <v>44450</v>
      </c>
      <c r="E51" s="23">
        <f t="shared" si="12"/>
        <v>14810.000000000002</v>
      </c>
      <c r="F51" s="23">
        <f t="shared" si="12"/>
        <v>7410</v>
      </c>
      <c r="G51" s="23"/>
      <c r="H51" s="23"/>
      <c r="I51" s="23"/>
      <c r="J51" s="23"/>
      <c r="K51" s="23"/>
      <c r="L51" s="23"/>
      <c r="M51" s="23">
        <f>SUM(C51:L51)</f>
        <v>100000</v>
      </c>
    </row>
    <row r="52" spans="1:13" s="22" customFormat="1">
      <c r="A52" s="42">
        <v>5</v>
      </c>
      <c r="B52" s="59" t="s">
        <v>90</v>
      </c>
      <c r="C52" s="23">
        <f>VLOOKUP(C$29,$B$4:$F$14,3)*$G$19</f>
        <v>20000</v>
      </c>
      <c r="D52" s="23">
        <f t="shared" ref="D52:H52" si="13">VLOOKUP(D$29,$B$4:$F$14,3)*$G$19</f>
        <v>32000</v>
      </c>
      <c r="E52" s="23">
        <f t="shared" si="13"/>
        <v>19200</v>
      </c>
      <c r="F52" s="23">
        <f t="shared" si="13"/>
        <v>11520</v>
      </c>
      <c r="G52" s="23">
        <f t="shared" si="13"/>
        <v>11520</v>
      </c>
      <c r="H52" s="23">
        <f t="shared" si="13"/>
        <v>5760</v>
      </c>
      <c r="I52" s="23"/>
      <c r="J52" s="23"/>
      <c r="K52" s="23"/>
      <c r="L52" s="23"/>
      <c r="M52" s="23">
        <f>SUM(C52:L52)</f>
        <v>100000</v>
      </c>
    </row>
    <row r="53" spans="1:13" s="22" customFormat="1">
      <c r="A53" s="42">
        <v>7</v>
      </c>
      <c r="B53" s="59" t="s">
        <v>91</v>
      </c>
      <c r="C53" s="23">
        <f>VLOOKUP(C$29,$B$4:$F$14,4)*$G$19</f>
        <v>14290</v>
      </c>
      <c r="D53" s="23">
        <f t="shared" ref="D53:J53" si="14">VLOOKUP(D$29,$B$4:$F$14,4)*$G$19</f>
        <v>24490</v>
      </c>
      <c r="E53" s="23">
        <f t="shared" si="14"/>
        <v>17490</v>
      </c>
      <c r="F53" s="23">
        <f t="shared" si="14"/>
        <v>12490</v>
      </c>
      <c r="G53" s="23">
        <f t="shared" si="14"/>
        <v>8930</v>
      </c>
      <c r="H53" s="23">
        <f t="shared" si="14"/>
        <v>8920</v>
      </c>
      <c r="I53" s="23">
        <f t="shared" si="14"/>
        <v>8930</v>
      </c>
      <c r="J53" s="23">
        <f t="shared" si="14"/>
        <v>4460</v>
      </c>
      <c r="K53" s="23"/>
      <c r="L53" s="23"/>
      <c r="M53" s="23">
        <f>SUM(C53:L53)</f>
        <v>100000</v>
      </c>
    </row>
    <row r="54" spans="1:13" s="22" customFormat="1">
      <c r="A54" s="42">
        <v>10</v>
      </c>
      <c r="B54" s="59" t="s">
        <v>92</v>
      </c>
      <c r="C54" s="23">
        <f>VLOOKUP(C$29,$B$4:$F$14,5)*$G$19</f>
        <v>10000</v>
      </c>
      <c r="D54" s="23">
        <f t="shared" ref="D54:L54" si="15">VLOOKUP(D$29,$B$4:$F$14,5)*$G$19</f>
        <v>18000</v>
      </c>
      <c r="E54" s="23">
        <f t="shared" si="15"/>
        <v>14399.999999999998</v>
      </c>
      <c r="F54" s="23">
        <f t="shared" si="15"/>
        <v>11520</v>
      </c>
      <c r="G54" s="23">
        <f t="shared" si="15"/>
        <v>9220</v>
      </c>
      <c r="H54" s="23">
        <f t="shared" si="15"/>
        <v>7370</v>
      </c>
      <c r="I54" s="23">
        <f t="shared" si="15"/>
        <v>6550</v>
      </c>
      <c r="J54" s="23">
        <f t="shared" si="15"/>
        <v>6550</v>
      </c>
      <c r="K54" s="23">
        <f t="shared" si="15"/>
        <v>6560.0000000000009</v>
      </c>
      <c r="L54" s="23">
        <f t="shared" si="15"/>
        <v>6550</v>
      </c>
    </row>
    <row r="56" spans="1:13" s="22" customFormat="1">
      <c r="A56" s="42"/>
      <c r="B56" s="95" t="s">
        <v>66</v>
      </c>
      <c r="C56" s="95"/>
      <c r="D56" s="95"/>
      <c r="E56" s="95"/>
    </row>
    <row r="57" spans="1:13" ht="7" customHeight="1"/>
    <row r="58" spans="1:13">
      <c r="B58" s="23" t="s">
        <v>60</v>
      </c>
      <c r="E58" s="1">
        <f>C19</f>
        <v>50000</v>
      </c>
    </row>
    <row r="59" spans="1:13" ht="16.5" thickBot="1">
      <c r="A59" s="43" t="s">
        <v>15</v>
      </c>
      <c r="B59" s="39" t="s">
        <v>40</v>
      </c>
      <c r="C59" s="40"/>
      <c r="D59" s="40"/>
      <c r="E59" s="24">
        <f>-M26</f>
        <v>-38890</v>
      </c>
    </row>
    <row r="60" spans="1:13">
      <c r="A60" s="43"/>
      <c r="B60" s="23" t="s">
        <v>39</v>
      </c>
      <c r="E60" s="1">
        <f>SUM(E58:E59)</f>
        <v>11110</v>
      </c>
    </row>
    <row r="61" spans="1:13">
      <c r="A61" s="43"/>
      <c r="B61" s="1"/>
      <c r="E61" s="1"/>
    </row>
    <row r="62" spans="1:13">
      <c r="A62" s="43"/>
      <c r="B62" s="23" t="s">
        <v>38</v>
      </c>
      <c r="E62" s="1">
        <f>'Inputs-Outputs'!F14</f>
        <v>30000</v>
      </c>
    </row>
    <row r="63" spans="1:13" ht="16.5" thickBot="1">
      <c r="A63" s="43" t="s">
        <v>15</v>
      </c>
      <c r="B63" s="39" t="s">
        <v>39</v>
      </c>
      <c r="C63" s="40"/>
      <c r="D63" s="40"/>
      <c r="E63" s="24">
        <f>-E60</f>
        <v>-11110</v>
      </c>
    </row>
    <row r="64" spans="1:13">
      <c r="A64" s="43"/>
      <c r="B64" s="23" t="s">
        <v>41</v>
      </c>
      <c r="E64" s="4">
        <f>SUM(E62:E63)</f>
        <v>18890</v>
      </c>
    </row>
    <row r="65" spans="1:11" ht="15" thickBot="1">
      <c r="A65" s="43" t="s">
        <v>42</v>
      </c>
      <c r="B65" s="39" t="s">
        <v>43</v>
      </c>
      <c r="C65" s="40"/>
      <c r="D65" s="40"/>
      <c r="E65" s="62">
        <f>-Tax</f>
        <v>-0.34</v>
      </c>
    </row>
    <row r="66" spans="1:11">
      <c r="B66" s="41" t="s">
        <v>44</v>
      </c>
      <c r="E66" s="1">
        <f>E64*E65</f>
        <v>-6422.6</v>
      </c>
    </row>
    <row r="67" spans="1:11" s="22" customFormat="1">
      <c r="A67" s="42"/>
      <c r="B67" s="41"/>
      <c r="E67" s="23"/>
    </row>
    <row r="68" spans="1:11" s="22" customFormat="1">
      <c r="A68" s="42"/>
      <c r="B68" s="95" t="str">
        <f>"Tax Effect at t="&amp;Life&amp;" for OLD Project"</f>
        <v>Tax Effect at t=8 for OLD Project</v>
      </c>
      <c r="C68" s="95"/>
      <c r="D68" s="95"/>
      <c r="E68" s="95"/>
      <c r="H68" s="95" t="str">
        <f>"Tax Effect at t="&amp;'Inputs-Outputs'!$G$6&amp;" for NEW Project"</f>
        <v>Tax Effect at t=8 for NEW Project</v>
      </c>
      <c r="I68" s="95"/>
      <c r="J68" s="95"/>
      <c r="K68" s="95"/>
    </row>
    <row r="70" spans="1:11">
      <c r="B70" s="23" t="s">
        <v>60</v>
      </c>
      <c r="C70" s="22"/>
      <c r="D70" s="22"/>
      <c r="E70" s="23">
        <f>C19</f>
        <v>50000</v>
      </c>
      <c r="G70" s="42"/>
      <c r="H70" s="23" t="s">
        <v>61</v>
      </c>
      <c r="I70" s="22"/>
      <c r="J70" s="22"/>
      <c r="K70" s="23">
        <f>G19</f>
        <v>100000</v>
      </c>
    </row>
    <row r="71" spans="1:11" ht="16.5" thickBot="1">
      <c r="A71" s="43" t="s">
        <v>15</v>
      </c>
      <c r="B71" s="39" t="s">
        <v>40</v>
      </c>
      <c r="C71" s="40"/>
      <c r="D71" s="40"/>
      <c r="E71" s="24">
        <f>-M31</f>
        <v>-50000</v>
      </c>
      <c r="G71" s="43" t="s">
        <v>15</v>
      </c>
      <c r="H71" s="39" t="s">
        <v>40</v>
      </c>
      <c r="I71" s="40"/>
      <c r="J71" s="40"/>
      <c r="K71" s="24">
        <f>-M30</f>
        <v>-100000</v>
      </c>
    </row>
    <row r="72" spans="1:11">
      <c r="A72" s="43"/>
      <c r="B72" s="23" t="s">
        <v>39</v>
      </c>
      <c r="C72" s="22"/>
      <c r="D72" s="22"/>
      <c r="E72" s="23">
        <f>SUM(E70:E71)</f>
        <v>0</v>
      </c>
      <c r="G72" s="43"/>
      <c r="H72" s="23" t="s">
        <v>39</v>
      </c>
      <c r="I72" s="22"/>
      <c r="J72" s="22"/>
      <c r="K72" s="23">
        <f>SUM(K70:K71)</f>
        <v>0</v>
      </c>
    </row>
    <row r="73" spans="1:11">
      <c r="A73" s="43"/>
      <c r="B73" s="23"/>
      <c r="C73" s="22"/>
      <c r="D73" s="22"/>
      <c r="E73" s="23"/>
      <c r="G73" s="43"/>
      <c r="H73" s="23"/>
      <c r="I73" s="22"/>
      <c r="J73" s="22"/>
      <c r="K73" s="23"/>
    </row>
    <row r="74" spans="1:11">
      <c r="A74" s="43"/>
      <c r="B74" s="23" t="s">
        <v>38</v>
      </c>
      <c r="C74" s="22"/>
      <c r="D74" s="22"/>
      <c r="E74" s="23">
        <f>'Inputs-Outputs'!F15</f>
        <v>5000</v>
      </c>
      <c r="G74" s="43"/>
      <c r="H74" s="23" t="s">
        <v>64</v>
      </c>
      <c r="I74" s="22"/>
      <c r="J74" s="22"/>
      <c r="K74" s="23">
        <f>'Inputs-Outputs'!G15</f>
        <v>25000</v>
      </c>
    </row>
    <row r="75" spans="1:11" ht="16.5" thickBot="1">
      <c r="A75" s="43" t="s">
        <v>15</v>
      </c>
      <c r="B75" s="39" t="s">
        <v>39</v>
      </c>
      <c r="C75" s="40"/>
      <c r="D75" s="40"/>
      <c r="E75" s="24">
        <f>-E72</f>
        <v>0</v>
      </c>
      <c r="G75" s="43" t="s">
        <v>15</v>
      </c>
      <c r="H75" s="25" t="s">
        <v>65</v>
      </c>
      <c r="I75" s="40"/>
      <c r="J75" s="40"/>
      <c r="K75" s="24">
        <f>-K72</f>
        <v>0</v>
      </c>
    </row>
    <row r="76" spans="1:11">
      <c r="A76" s="43"/>
      <c r="B76" s="23" t="s">
        <v>41</v>
      </c>
      <c r="C76" s="22"/>
      <c r="D76" s="22"/>
      <c r="E76" s="4">
        <f>SUM(E74:E75)</f>
        <v>5000</v>
      </c>
      <c r="G76" s="43"/>
      <c r="H76" s="23" t="s">
        <v>41</v>
      </c>
      <c r="I76" s="22"/>
      <c r="J76" s="22"/>
      <c r="K76" s="4">
        <f>SUM(K74:K75)</f>
        <v>25000</v>
      </c>
    </row>
    <row r="77" spans="1:11" ht="15" thickBot="1">
      <c r="A77" s="43" t="s">
        <v>42</v>
      </c>
      <c r="B77" s="39" t="s">
        <v>43</v>
      </c>
      <c r="C77" s="40"/>
      <c r="D77" s="40"/>
      <c r="E77" s="21">
        <f>-Tax</f>
        <v>-0.34</v>
      </c>
      <c r="G77" s="43" t="s">
        <v>42</v>
      </c>
      <c r="H77" s="39" t="s">
        <v>43</v>
      </c>
      <c r="I77" s="40"/>
      <c r="J77" s="40"/>
      <c r="K77" s="21">
        <f>-Tax</f>
        <v>-0.34</v>
      </c>
    </row>
    <row r="78" spans="1:11">
      <c r="B78" s="41" t="s">
        <v>44</v>
      </c>
      <c r="C78" s="22"/>
      <c r="D78" s="22"/>
      <c r="E78" s="23">
        <f>E76*E77</f>
        <v>-1700.0000000000002</v>
      </c>
      <c r="G78" s="42"/>
      <c r="H78" s="41" t="s">
        <v>44</v>
      </c>
      <c r="I78" s="22"/>
      <c r="J78" s="22"/>
      <c r="K78" s="23">
        <f>K76*K77</f>
        <v>-8500</v>
      </c>
    </row>
    <row r="80" spans="1:11">
      <c r="B80" s="23" t="s">
        <v>83</v>
      </c>
      <c r="E80" s="23">
        <f>E74</f>
        <v>5000</v>
      </c>
      <c r="G80" s="42"/>
      <c r="H80" s="23" t="s">
        <v>83</v>
      </c>
      <c r="I80" s="22"/>
      <c r="J80" s="22"/>
      <c r="K80" s="23">
        <f>K74</f>
        <v>25000</v>
      </c>
    </row>
    <row r="81" spans="1:11" ht="15" thickBot="1">
      <c r="A81" s="49" t="s">
        <v>18</v>
      </c>
      <c r="B81" s="25" t="s">
        <v>44</v>
      </c>
      <c r="C81" s="40"/>
      <c r="D81" s="40"/>
      <c r="E81" s="25">
        <f>E78</f>
        <v>-1700.0000000000002</v>
      </c>
      <c r="G81" s="49" t="s">
        <v>18</v>
      </c>
      <c r="H81" s="25" t="s">
        <v>44</v>
      </c>
      <c r="I81" s="40"/>
      <c r="J81" s="40"/>
      <c r="K81" s="25">
        <f>K78</f>
        <v>-8500</v>
      </c>
    </row>
    <row r="82" spans="1:11">
      <c r="B82" s="44" t="s">
        <v>62</v>
      </c>
      <c r="E82" s="23">
        <f>SUM(E80:E81)</f>
        <v>3300</v>
      </c>
      <c r="G82" s="42"/>
      <c r="H82" s="44" t="s">
        <v>63</v>
      </c>
      <c r="I82" s="22"/>
      <c r="J82" s="22"/>
      <c r="K82" s="23">
        <f>SUM(K80:K81)</f>
        <v>16500</v>
      </c>
    </row>
    <row r="84" spans="1:11">
      <c r="H84" s="44" t="s">
        <v>59</v>
      </c>
      <c r="K84" s="23">
        <f>K82-E82</f>
        <v>13200</v>
      </c>
    </row>
  </sheetData>
  <mergeCells count="5">
    <mergeCell ref="B2:F2"/>
    <mergeCell ref="B56:E56"/>
    <mergeCell ref="B68:E68"/>
    <mergeCell ref="H68:K68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workbookViewId="0">
      <selection activeCell="E22" sqref="E22"/>
    </sheetView>
  </sheetViews>
  <sheetFormatPr defaultRowHeight="14.5"/>
  <cols>
    <col min="3" max="3" width="11" bestFit="1" customWidth="1"/>
    <col min="4" max="4" width="11.54296875" customWidth="1"/>
    <col min="5" max="12" width="9.81640625" bestFit="1" customWidth="1"/>
  </cols>
  <sheetData>
    <row r="3" spans="2:13"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</row>
    <row r="4" spans="2:13">
      <c r="B4" s="23">
        <f>-'CF Detail'!D8</f>
        <v>81422.600000000006</v>
      </c>
      <c r="C4" s="23">
        <f>'CF Detail'!D24</f>
        <v>20694.5</v>
      </c>
      <c r="D4" s="23">
        <f>'CF Detail'!E24</f>
        <v>25733.3</v>
      </c>
      <c r="E4" s="23">
        <f>'CF Detail'!F24</f>
        <v>16915.400000000001</v>
      </c>
      <c r="F4" s="23">
        <f>'CF Detail'!G24</f>
        <v>14399.4</v>
      </c>
      <c r="G4" s="23">
        <f>'CF Detail'!H24</f>
        <v>11880</v>
      </c>
      <c r="H4" s="23">
        <f>'CF Detail'!I24</f>
        <v>11880</v>
      </c>
      <c r="I4" s="23">
        <f>'CF Detail'!J24</f>
        <v>11880</v>
      </c>
      <c r="J4" s="23">
        <f>'CF Detail'!K24</f>
        <v>20080</v>
      </c>
      <c r="K4" s="23">
        <f>'CF Detail'!L24</f>
        <v>0</v>
      </c>
      <c r="L4" s="23">
        <f>'CF Detail'!M24</f>
        <v>0</v>
      </c>
      <c r="M4" s="23"/>
    </row>
    <row r="6" spans="2:13">
      <c r="C6" s="23">
        <f>C4</f>
        <v>20694.5</v>
      </c>
      <c r="D6" s="23">
        <f>D4+C6</f>
        <v>46427.8</v>
      </c>
      <c r="E6" s="23">
        <f t="shared" ref="E6:L6" si="0">E4+D6</f>
        <v>63343.200000000004</v>
      </c>
      <c r="F6" s="23">
        <f t="shared" si="0"/>
        <v>77742.600000000006</v>
      </c>
      <c r="G6" s="23">
        <f t="shared" si="0"/>
        <v>89622.6</v>
      </c>
      <c r="H6" s="23">
        <f t="shared" si="0"/>
        <v>101502.6</v>
      </c>
      <c r="I6" s="23">
        <f t="shared" si="0"/>
        <v>113382.6</v>
      </c>
      <c r="J6" s="23">
        <f t="shared" si="0"/>
        <v>133462.6</v>
      </c>
      <c r="K6" s="23">
        <f t="shared" si="0"/>
        <v>133462.6</v>
      </c>
      <c r="L6" s="23">
        <f t="shared" si="0"/>
        <v>133462.6</v>
      </c>
    </row>
    <row r="7" spans="2:13">
      <c r="D7" t="str">
        <f>IF(D6&lt;$B$4,"",D3)</f>
        <v/>
      </c>
      <c r="E7" s="22" t="str">
        <f t="shared" ref="E7:L7" si="1">IF(E6&lt;$B$4,"",E3)</f>
        <v/>
      </c>
      <c r="F7" s="22" t="str">
        <f t="shared" si="1"/>
        <v/>
      </c>
      <c r="G7" s="22">
        <f t="shared" si="1"/>
        <v>5</v>
      </c>
      <c r="H7" s="22">
        <f t="shared" si="1"/>
        <v>6</v>
      </c>
      <c r="I7" s="22">
        <f t="shared" si="1"/>
        <v>7</v>
      </c>
      <c r="J7" s="22">
        <f t="shared" si="1"/>
        <v>8</v>
      </c>
      <c r="K7" s="22">
        <f t="shared" si="1"/>
        <v>9</v>
      </c>
      <c r="L7" s="22">
        <f t="shared" si="1"/>
        <v>10</v>
      </c>
    </row>
    <row r="9" spans="2:13">
      <c r="B9" s="22" t="s">
        <v>76</v>
      </c>
      <c r="C9">
        <f>MIN(D7:L7)</f>
        <v>5</v>
      </c>
    </row>
    <row r="11" spans="2:13">
      <c r="B11" s="67">
        <v>0</v>
      </c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</row>
    <row r="12" spans="2:13">
      <c r="B12" s="23">
        <f>B4</f>
        <v>81422.600000000006</v>
      </c>
      <c r="C12" s="23">
        <f t="shared" ref="C12:L12" si="2">C4</f>
        <v>20694.5</v>
      </c>
      <c r="D12" s="23">
        <f t="shared" si="2"/>
        <v>25733.3</v>
      </c>
      <c r="E12" s="23">
        <f t="shared" si="2"/>
        <v>16915.400000000001</v>
      </c>
      <c r="F12" s="23">
        <f t="shared" si="2"/>
        <v>14399.4</v>
      </c>
      <c r="G12" s="23">
        <f t="shared" si="2"/>
        <v>11880</v>
      </c>
      <c r="H12" s="23">
        <f t="shared" si="2"/>
        <v>11880</v>
      </c>
      <c r="I12" s="23">
        <f t="shared" si="2"/>
        <v>11880</v>
      </c>
      <c r="J12" s="23">
        <f t="shared" si="2"/>
        <v>20080</v>
      </c>
      <c r="K12" s="23">
        <f t="shared" si="2"/>
        <v>0</v>
      </c>
      <c r="L12" s="23">
        <f t="shared" si="2"/>
        <v>0</v>
      </c>
    </row>
    <row r="14" spans="2:13">
      <c r="C14" s="83">
        <f>-PV(Rate,C11,0,C12)</f>
        <v>18477.232142857141</v>
      </c>
      <c r="D14" s="83">
        <f t="shared" ref="D14:L14" si="3">-PV(Rate,D11,0,D12)+C14</f>
        <v>38991.661352040814</v>
      </c>
      <c r="E14" s="83">
        <f t="shared" si="3"/>
        <v>51031.708955903785</v>
      </c>
      <c r="F14" s="83">
        <f t="shared" si="3"/>
        <v>60182.787974086314</v>
      </c>
      <c r="G14" s="83">
        <f t="shared" si="3"/>
        <v>66923.819020023278</v>
      </c>
      <c r="H14" s="83">
        <f t="shared" si="3"/>
        <v>72942.596739609842</v>
      </c>
      <c r="I14" s="83">
        <f t="shared" si="3"/>
        <v>78316.505417812135</v>
      </c>
      <c r="J14" s="83">
        <f t="shared" si="3"/>
        <v>86426.480635637869</v>
      </c>
      <c r="K14" s="83">
        <f t="shared" si="3"/>
        <v>86426.480635637869</v>
      </c>
      <c r="L14" s="83">
        <f t="shared" si="3"/>
        <v>86426.480635637869</v>
      </c>
    </row>
    <row r="15" spans="2:13">
      <c r="D15" s="67" t="str">
        <f>IF(D14&lt;$B$4,"",D11)</f>
        <v/>
      </c>
      <c r="E15" s="67" t="str">
        <f t="shared" ref="E15:L15" si="4">IF(E14&lt;$B$4,"",E11)</f>
        <v/>
      </c>
      <c r="F15" s="67" t="str">
        <f t="shared" si="4"/>
        <v/>
      </c>
      <c r="G15" s="67" t="str">
        <f t="shared" si="4"/>
        <v/>
      </c>
      <c r="H15" s="67" t="str">
        <f t="shared" si="4"/>
        <v/>
      </c>
      <c r="I15" s="67" t="str">
        <f t="shared" si="4"/>
        <v/>
      </c>
      <c r="J15" s="67">
        <f t="shared" si="4"/>
        <v>8</v>
      </c>
      <c r="K15" s="67">
        <f t="shared" si="4"/>
        <v>9</v>
      </c>
      <c r="L15" s="67">
        <f t="shared" si="4"/>
        <v>10</v>
      </c>
    </row>
    <row r="17" spans="2:3">
      <c r="B17" s="67" t="s">
        <v>139</v>
      </c>
      <c r="C17" s="67">
        <f>MIN(D15:L15)</f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J133"/>
  <sheetViews>
    <sheetView zoomScale="130" zoomScaleNormal="130" workbookViewId="0">
      <selection activeCell="H3" sqref="H3"/>
    </sheetView>
  </sheetViews>
  <sheetFormatPr defaultRowHeight="14.5"/>
  <cols>
    <col min="1" max="1" width="3.1796875" customWidth="1"/>
    <col min="4" max="4" width="9.453125" bestFit="1" customWidth="1"/>
    <col min="5" max="6" width="12.453125" customWidth="1"/>
    <col min="7" max="7" width="10.453125" customWidth="1"/>
    <col min="9" max="9" width="9.453125" bestFit="1" customWidth="1"/>
    <col min="10" max="10" width="11.81640625" bestFit="1" customWidth="1"/>
  </cols>
  <sheetData>
    <row r="2" spans="2:2">
      <c r="B2" s="67" t="s">
        <v>93</v>
      </c>
    </row>
    <row r="3" spans="2:2">
      <c r="B3" s="67" t="s">
        <v>94</v>
      </c>
    </row>
    <row r="4" spans="2:2">
      <c r="B4" s="67" t="s">
        <v>95</v>
      </c>
    </row>
    <row r="5" spans="2:2">
      <c r="B5" s="67" t="s">
        <v>96</v>
      </c>
    </row>
    <row r="6" spans="2:2">
      <c r="B6" s="67"/>
    </row>
    <row r="7" spans="2:2">
      <c r="B7" s="67" t="s">
        <v>97</v>
      </c>
    </row>
    <row r="8" spans="2:2">
      <c r="B8" s="67" t="s">
        <v>98</v>
      </c>
    </row>
    <row r="9" spans="2:2">
      <c r="B9" s="67" t="s">
        <v>99</v>
      </c>
    </row>
    <row r="10" spans="2:2">
      <c r="B10" s="67" t="s">
        <v>100</v>
      </c>
    </row>
    <row r="11" spans="2:2">
      <c r="B11" s="67"/>
    </row>
    <row r="12" spans="2:2">
      <c r="B12" s="67" t="s">
        <v>101</v>
      </c>
    </row>
    <row r="13" spans="2:2">
      <c r="B13" s="67" t="s">
        <v>102</v>
      </c>
    </row>
    <row r="14" spans="2:2">
      <c r="B14" s="67" t="s">
        <v>103</v>
      </c>
    </row>
    <row r="15" spans="2:2">
      <c r="B15" s="67" t="s">
        <v>104</v>
      </c>
    </row>
    <row r="17" spans="2:7">
      <c r="B17" s="68" t="s">
        <v>105</v>
      </c>
      <c r="C17" s="67"/>
      <c r="D17" s="67"/>
      <c r="E17" s="67"/>
      <c r="F17" s="67"/>
      <c r="G17" s="67"/>
    </row>
    <row r="18" spans="2:7">
      <c r="B18" s="67"/>
      <c r="C18" s="67" t="s">
        <v>27</v>
      </c>
      <c r="D18" s="67" t="s">
        <v>71</v>
      </c>
      <c r="E18" s="67"/>
      <c r="F18" s="67" t="s">
        <v>27</v>
      </c>
      <c r="G18" s="71">
        <f>D28</f>
        <v>-1192.1362275366791</v>
      </c>
    </row>
    <row r="19" spans="2:7">
      <c r="B19" s="67"/>
      <c r="C19" s="67">
        <v>0</v>
      </c>
      <c r="D19" s="72">
        <v>-12000</v>
      </c>
      <c r="E19" s="67"/>
      <c r="F19" s="67">
        <v>0</v>
      </c>
      <c r="G19" s="67">
        <f t="dataTable" ref="G19:G25" dt2D="0" dtr="0" r1="D27"/>
        <v>10000</v>
      </c>
    </row>
    <row r="20" spans="2:7">
      <c r="B20" s="67"/>
      <c r="C20" s="67">
        <v>1</v>
      </c>
      <c r="D20" s="72">
        <v>2000</v>
      </c>
      <c r="E20" s="67"/>
      <c r="F20" s="73">
        <v>0.05</v>
      </c>
      <c r="G20" s="67">
        <v>6313.6793606417123</v>
      </c>
    </row>
    <row r="21" spans="2:7">
      <c r="B21" s="67"/>
      <c r="C21" s="67">
        <v>2</v>
      </c>
      <c r="D21" s="72">
        <v>3000</v>
      </c>
      <c r="E21" s="67"/>
      <c r="F21" s="73">
        <v>0.1</v>
      </c>
      <c r="G21" s="67">
        <v>3459.4281540404154</v>
      </c>
    </row>
    <row r="22" spans="2:7">
      <c r="B22" s="67"/>
      <c r="C22" s="67">
        <v>3</v>
      </c>
      <c r="D22" s="72">
        <v>4000</v>
      </c>
      <c r="E22" s="67"/>
      <c r="F22" s="73">
        <v>0.15</v>
      </c>
      <c r="G22" s="67">
        <v>1214.4099192054764</v>
      </c>
    </row>
    <row r="23" spans="2:7">
      <c r="B23" s="67"/>
      <c r="C23" s="67">
        <v>4</v>
      </c>
      <c r="D23" s="72">
        <v>5000</v>
      </c>
      <c r="E23" s="67"/>
      <c r="F23" s="73">
        <v>0.2</v>
      </c>
      <c r="G23" s="67">
        <v>-576.81755829903886</v>
      </c>
    </row>
    <row r="24" spans="2:7">
      <c r="B24" s="67"/>
      <c r="C24" s="67">
        <v>5</v>
      </c>
      <c r="D24" s="72">
        <v>4000</v>
      </c>
      <c r="E24" s="67"/>
      <c r="F24" s="73">
        <v>0.25</v>
      </c>
      <c r="G24" s="67">
        <v>-2024.7040000000015</v>
      </c>
    </row>
    <row r="25" spans="2:7">
      <c r="B25" s="67"/>
      <c r="C25" s="67">
        <v>6</v>
      </c>
      <c r="D25" s="72">
        <v>4000</v>
      </c>
      <c r="E25" s="67"/>
      <c r="F25" s="73">
        <v>0.3</v>
      </c>
      <c r="G25" s="67">
        <v>-3209.0658652538368</v>
      </c>
    </row>
    <row r="27" spans="2:7">
      <c r="B27" s="67"/>
      <c r="C27" s="67" t="s">
        <v>106</v>
      </c>
      <c r="D27" s="73">
        <v>0.22</v>
      </c>
      <c r="E27" s="67"/>
      <c r="F27" s="67"/>
      <c r="G27" s="67"/>
    </row>
    <row r="28" spans="2:7">
      <c r="B28" s="67"/>
      <c r="C28" s="67" t="s">
        <v>73</v>
      </c>
      <c r="D28" s="71">
        <f>NPV(D27,D20:D25)+D19</f>
        <v>-1192.1362275366791</v>
      </c>
      <c r="E28" s="67"/>
      <c r="F28" s="67"/>
      <c r="G28" s="67"/>
    </row>
    <row r="29" spans="2:7">
      <c r="B29" s="67"/>
      <c r="C29" s="67" t="s">
        <v>74</v>
      </c>
      <c r="D29" s="69">
        <f>IRR(D19:D25)</f>
        <v>0.18267835438108454</v>
      </c>
      <c r="E29" s="67"/>
      <c r="F29" s="67"/>
      <c r="G29" s="67"/>
    </row>
    <row r="31" spans="2:7">
      <c r="B31" s="67" t="s">
        <v>107</v>
      </c>
      <c r="C31" s="67"/>
      <c r="D31" s="67"/>
      <c r="E31" s="67"/>
      <c r="F31" s="67"/>
      <c r="G31" s="67"/>
    </row>
    <row r="33" spans="2:9">
      <c r="B33" s="78" t="s">
        <v>108</v>
      </c>
      <c r="C33" s="68" t="s">
        <v>109</v>
      </c>
      <c r="D33" s="68"/>
      <c r="E33" s="68"/>
      <c r="F33" s="68"/>
      <c r="G33" s="68"/>
      <c r="H33" s="68"/>
      <c r="I33" s="68"/>
    </row>
    <row r="34" spans="2:9">
      <c r="B34" s="67"/>
      <c r="C34" s="67"/>
      <c r="D34" s="67"/>
      <c r="E34" s="67"/>
      <c r="F34" s="67"/>
      <c r="G34" s="67"/>
      <c r="H34" s="67"/>
      <c r="I34" s="67"/>
    </row>
    <row r="35" spans="2:9">
      <c r="B35" s="67"/>
      <c r="C35" s="67"/>
      <c r="D35" s="67" t="s">
        <v>110</v>
      </c>
      <c r="E35" s="67"/>
      <c r="F35" s="67"/>
      <c r="G35" s="67"/>
      <c r="H35" s="67"/>
      <c r="I35" s="67"/>
    </row>
    <row r="36" spans="2:9">
      <c r="B36" s="67"/>
      <c r="C36" s="67"/>
      <c r="D36" s="67" t="s">
        <v>111</v>
      </c>
      <c r="E36" s="67"/>
      <c r="F36" s="67"/>
      <c r="G36" s="67"/>
      <c r="H36" s="67"/>
      <c r="I36" s="67"/>
    </row>
    <row r="37" spans="2:9">
      <c r="B37" s="67"/>
      <c r="C37" s="67"/>
      <c r="D37" s="67" t="s">
        <v>112</v>
      </c>
      <c r="E37" s="67"/>
      <c r="F37" s="67"/>
      <c r="G37" s="67"/>
      <c r="H37" s="67"/>
      <c r="I37" s="67"/>
    </row>
    <row r="39" spans="2:9">
      <c r="B39" s="67"/>
      <c r="C39" s="67"/>
      <c r="D39" s="67" t="s">
        <v>113</v>
      </c>
      <c r="E39" s="67"/>
      <c r="F39" s="67"/>
      <c r="G39" s="67"/>
      <c r="H39" s="67"/>
      <c r="I39" s="67"/>
    </row>
    <row r="41" spans="2:9">
      <c r="B41" s="67"/>
      <c r="C41" s="67"/>
      <c r="D41" s="67" t="s">
        <v>27</v>
      </c>
      <c r="E41" s="67"/>
      <c r="F41" s="67"/>
      <c r="G41" s="67"/>
      <c r="H41" s="67"/>
      <c r="I41" s="75">
        <f>E60</f>
        <v>25.75450611252154</v>
      </c>
    </row>
    <row r="42" spans="2:9">
      <c r="B42" s="67"/>
      <c r="C42" s="67"/>
      <c r="D42" s="67">
        <v>0</v>
      </c>
      <c r="E42" s="74">
        <v>-1000</v>
      </c>
      <c r="F42" s="74">
        <v>-1000</v>
      </c>
      <c r="G42" s="67"/>
      <c r="H42" s="76">
        <v>0</v>
      </c>
      <c r="I42" s="74">
        <f t="dataTable" ref="I42:I57" dt2D="0" dtr="0" r1="E59"/>
        <v>-50</v>
      </c>
    </row>
    <row r="43" spans="2:9">
      <c r="B43" s="67"/>
      <c r="C43" s="67"/>
      <c r="D43" s="67">
        <v>1</v>
      </c>
      <c r="E43" s="74">
        <v>1200</v>
      </c>
      <c r="F43" s="74">
        <v>1071.4285714285713</v>
      </c>
      <c r="G43" s="67"/>
      <c r="H43" s="76">
        <v>0.02</v>
      </c>
      <c r="I43" s="74">
        <v>-9.2830942618356858</v>
      </c>
    </row>
    <row r="44" spans="2:9">
      <c r="B44" s="67"/>
      <c r="C44" s="67"/>
      <c r="D44" s="67">
        <v>2</v>
      </c>
      <c r="E44" s="74">
        <v>0</v>
      </c>
      <c r="F44" s="74"/>
      <c r="G44" s="67"/>
      <c r="H44" s="76">
        <v>0.04</v>
      </c>
      <c r="I44" s="74">
        <v>15.030028167835098</v>
      </c>
    </row>
    <row r="45" spans="2:9">
      <c r="B45" s="67"/>
      <c r="C45" s="67"/>
      <c r="D45" s="67">
        <v>3</v>
      </c>
      <c r="E45" s="74">
        <v>0</v>
      </c>
      <c r="F45" s="74"/>
      <c r="G45" s="67"/>
      <c r="H45" s="76">
        <v>0.06</v>
      </c>
      <c r="I45" s="74">
        <v>27.759206514228026</v>
      </c>
    </row>
    <row r="46" spans="2:9">
      <c r="B46" s="67"/>
      <c r="C46" s="67"/>
      <c r="D46" s="67">
        <v>4</v>
      </c>
      <c r="E46" s="74">
        <v>0</v>
      </c>
      <c r="F46" s="74"/>
      <c r="G46" s="67"/>
      <c r="H46" s="76">
        <v>0.08</v>
      </c>
      <c r="I46" s="74">
        <v>32.300684869638644</v>
      </c>
    </row>
    <row r="47" spans="2:9">
      <c r="B47" s="67"/>
      <c r="C47" s="67"/>
      <c r="D47" s="67">
        <v>5</v>
      </c>
      <c r="E47" s="74">
        <v>0</v>
      </c>
      <c r="F47" s="74"/>
      <c r="G47" s="67"/>
      <c r="H47" s="76">
        <v>0.1</v>
      </c>
      <c r="I47" s="74">
        <v>31.061078566799779</v>
      </c>
    </row>
    <row r="48" spans="2:9">
      <c r="B48" s="67"/>
      <c r="C48" s="67"/>
      <c r="D48" s="67">
        <v>6</v>
      </c>
      <c r="E48" s="74">
        <v>0</v>
      </c>
      <c r="F48" s="74"/>
      <c r="G48" s="67"/>
      <c r="H48" s="76">
        <v>0.12</v>
      </c>
      <c r="I48" s="74">
        <v>25.75450611252154</v>
      </c>
    </row>
    <row r="49" spans="2:10">
      <c r="B49" s="67"/>
      <c r="C49" s="67"/>
      <c r="D49" s="67">
        <v>7</v>
      </c>
      <c r="E49" s="74">
        <v>0</v>
      </c>
      <c r="F49" s="74"/>
      <c r="G49" s="67"/>
      <c r="H49" s="76">
        <v>0.14000000000000001</v>
      </c>
      <c r="I49" s="74">
        <v>17.607458430078623</v>
      </c>
      <c r="J49" s="67"/>
    </row>
    <row r="50" spans="2:10">
      <c r="B50" s="67"/>
      <c r="C50" s="67"/>
      <c r="D50" s="67">
        <v>8</v>
      </c>
      <c r="E50" s="74">
        <v>0</v>
      </c>
      <c r="F50" s="74"/>
      <c r="G50" s="67"/>
      <c r="H50" s="76">
        <v>0.16</v>
      </c>
      <c r="I50" s="74">
        <v>7.501005125185884</v>
      </c>
      <c r="J50" s="67"/>
    </row>
    <row r="51" spans="2:10">
      <c r="B51" s="67"/>
      <c r="C51" s="67"/>
      <c r="D51" s="67">
        <v>9</v>
      </c>
      <c r="E51" s="74">
        <v>0</v>
      </c>
      <c r="F51" s="74"/>
      <c r="G51" s="67"/>
      <c r="H51" s="76">
        <v>0.18</v>
      </c>
      <c r="I51" s="74">
        <v>-3.929857303151266</v>
      </c>
      <c r="J51" s="67"/>
    </row>
    <row r="52" spans="2:10">
      <c r="B52" s="67"/>
      <c r="C52" s="67"/>
      <c r="D52" s="67">
        <v>10</v>
      </c>
      <c r="E52" s="74">
        <v>0</v>
      </c>
      <c r="F52" s="74"/>
      <c r="G52" s="67"/>
      <c r="H52" s="76">
        <v>0.2</v>
      </c>
      <c r="I52" s="74">
        <v>-16.226367879718623</v>
      </c>
      <c r="J52" s="67"/>
    </row>
    <row r="53" spans="2:10">
      <c r="B53" s="67"/>
      <c r="C53" s="67"/>
      <c r="D53" s="67">
        <v>11</v>
      </c>
      <c r="E53" s="74">
        <v>0</v>
      </c>
      <c r="F53" s="74"/>
      <c r="G53" s="67"/>
      <c r="H53" s="76">
        <v>0.22</v>
      </c>
      <c r="I53" s="74">
        <v>-29.056615869377879</v>
      </c>
      <c r="J53" s="67"/>
    </row>
    <row r="54" spans="2:10">
      <c r="B54" s="67"/>
      <c r="C54" s="67"/>
      <c r="D54" s="67">
        <v>12</v>
      </c>
      <c r="E54" s="74">
        <v>0</v>
      </c>
      <c r="F54" s="74"/>
      <c r="G54" s="67"/>
      <c r="H54" s="76">
        <v>0.24</v>
      </c>
      <c r="I54" s="74">
        <v>-42.180418834388547</v>
      </c>
      <c r="J54" s="67"/>
    </row>
    <row r="55" spans="2:10">
      <c r="B55" s="67"/>
      <c r="C55" s="67"/>
      <c r="D55" s="67">
        <v>13</v>
      </c>
      <c r="E55" s="74">
        <v>0</v>
      </c>
      <c r="F55" s="74"/>
      <c r="G55" s="67"/>
      <c r="H55" s="76">
        <v>0.26</v>
      </c>
      <c r="I55" s="74">
        <v>-55.424208009106337</v>
      </c>
      <c r="J55" s="67"/>
    </row>
    <row r="56" spans="2:10">
      <c r="B56" s="67"/>
      <c r="C56" s="67"/>
      <c r="D56" s="67">
        <v>14</v>
      </c>
      <c r="E56" s="74">
        <v>0</v>
      </c>
      <c r="F56" s="74"/>
      <c r="G56" s="67"/>
      <c r="H56" s="76">
        <v>0.28000000000000003</v>
      </c>
      <c r="I56" s="74">
        <v>-68.66297582203913</v>
      </c>
      <c r="J56" s="67"/>
    </row>
    <row r="57" spans="2:10">
      <c r="B57" s="67"/>
      <c r="C57" s="67"/>
      <c r="D57" s="67">
        <v>15</v>
      </c>
      <c r="E57" s="74">
        <v>-250</v>
      </c>
      <c r="F57" s="74">
        <v>-45.67406531604982</v>
      </c>
      <c r="G57" s="67"/>
      <c r="H57" s="76">
        <v>0.3</v>
      </c>
      <c r="I57" s="74">
        <v>-81.80723514087299</v>
      </c>
      <c r="J57" s="67"/>
    </row>
    <row r="59" spans="2:10">
      <c r="B59" s="67"/>
      <c r="C59" s="67"/>
      <c r="D59" s="67" t="s">
        <v>114</v>
      </c>
      <c r="E59" s="73">
        <v>0.12</v>
      </c>
      <c r="F59" s="67"/>
      <c r="G59" s="67"/>
      <c r="H59" s="67"/>
      <c r="I59" s="67"/>
      <c r="J59" s="67"/>
    </row>
    <row r="60" spans="2:10">
      <c r="B60" s="67"/>
      <c r="C60" s="67"/>
      <c r="D60" s="67" t="s">
        <v>73</v>
      </c>
      <c r="E60" s="77">
        <f>NPV(E59,E43:E57)+E42</f>
        <v>25.75450611252154</v>
      </c>
      <c r="F60" s="67"/>
      <c r="G60" s="67"/>
      <c r="H60" s="67"/>
      <c r="I60" s="67"/>
      <c r="J60" s="67"/>
    </row>
    <row r="61" spans="2:10">
      <c r="B61" s="67"/>
      <c r="C61" s="67"/>
      <c r="D61" s="67"/>
      <c r="E61" s="74"/>
      <c r="F61" s="67"/>
      <c r="G61" s="67"/>
      <c r="H61" s="67"/>
      <c r="I61" s="67"/>
      <c r="J61" s="67"/>
    </row>
    <row r="62" spans="2:10">
      <c r="B62" s="78" t="s">
        <v>115</v>
      </c>
      <c r="C62" s="68" t="s">
        <v>116</v>
      </c>
      <c r="D62" s="68"/>
      <c r="E62" s="81"/>
      <c r="F62" s="68"/>
      <c r="G62" s="68"/>
      <c r="H62" s="68"/>
      <c r="I62" s="68"/>
      <c r="J62" s="68"/>
    </row>
    <row r="64" spans="2:10">
      <c r="B64" s="67"/>
      <c r="C64" s="67"/>
      <c r="D64" s="67"/>
      <c r="E64" s="67"/>
      <c r="F64" s="67"/>
      <c r="G64" s="67"/>
      <c r="H64" s="67"/>
      <c r="I64" s="80">
        <f>E77</f>
        <v>165.04088766912309</v>
      </c>
      <c r="J64" s="80">
        <f>F77</f>
        <v>465.22137564246623</v>
      </c>
    </row>
    <row r="65" spans="4:10">
      <c r="D65" s="68" t="s">
        <v>27</v>
      </c>
      <c r="E65" s="68" t="s">
        <v>117</v>
      </c>
      <c r="F65" s="68" t="s">
        <v>118</v>
      </c>
      <c r="G65" s="67"/>
      <c r="H65" s="76">
        <v>0</v>
      </c>
      <c r="I65" s="67">
        <f t="dataTable" ref="I65:J80" dt2D="0" dtr="0" r1="E75"/>
        <v>560</v>
      </c>
      <c r="J65" s="67">
        <v>2700</v>
      </c>
    </row>
    <row r="66" spans="4:10">
      <c r="D66" s="67">
        <v>0</v>
      </c>
      <c r="E66" s="77">
        <v>-2000</v>
      </c>
      <c r="F66" s="77">
        <v>-2000</v>
      </c>
      <c r="G66" s="67"/>
      <c r="H66" s="76">
        <v>0.02</v>
      </c>
      <c r="I66" s="67">
        <v>470.76643674407478</v>
      </c>
      <c r="J66" s="67">
        <v>2116.223583029192</v>
      </c>
    </row>
    <row r="67" spans="4:10">
      <c r="D67" s="67">
        <v>1</v>
      </c>
      <c r="E67" s="77">
        <v>1200</v>
      </c>
      <c r="F67" s="77">
        <v>-350</v>
      </c>
      <c r="G67" s="67"/>
      <c r="H67" s="76">
        <v>0.04</v>
      </c>
      <c r="I67" s="67">
        <v>387.1129278292342</v>
      </c>
      <c r="J67" s="67">
        <v>1612.0056966346301</v>
      </c>
    </row>
    <row r="68" spans="4:10">
      <c r="D68" s="67">
        <v>2</v>
      </c>
      <c r="E68" s="77">
        <v>900</v>
      </c>
      <c r="F68" s="77">
        <v>-60</v>
      </c>
      <c r="G68" s="67"/>
      <c r="H68" s="76">
        <v>0.06</v>
      </c>
      <c r="I68" s="67">
        <v>308.55455441266577</v>
      </c>
      <c r="J68" s="67">
        <v>1175.2147611455002</v>
      </c>
    </row>
    <row r="69" spans="4:10">
      <c r="D69" s="67">
        <v>3</v>
      </c>
      <c r="E69" s="77">
        <v>300</v>
      </c>
      <c r="F69" s="77">
        <v>60</v>
      </c>
      <c r="G69" s="67"/>
      <c r="H69" s="76">
        <v>0.08</v>
      </c>
      <c r="I69" s="67">
        <v>234.65923223281015</v>
      </c>
      <c r="J69" s="67">
        <v>795.76087656511527</v>
      </c>
    </row>
    <row r="70" spans="4:10">
      <c r="D70" s="67">
        <v>4</v>
      </c>
      <c r="E70" s="77">
        <v>90</v>
      </c>
      <c r="F70" s="77">
        <v>350</v>
      </c>
      <c r="G70" s="67"/>
      <c r="H70" s="76">
        <v>0.1</v>
      </c>
      <c r="I70" s="67">
        <v>165.04088766912309</v>
      </c>
      <c r="J70" s="67">
        <v>465.22137564246623</v>
      </c>
    </row>
    <row r="71" spans="4:10">
      <c r="D71" s="67">
        <v>5</v>
      </c>
      <c r="E71" s="77">
        <v>70</v>
      </c>
      <c r="F71" s="77">
        <v>700</v>
      </c>
      <c r="G71" s="67"/>
      <c r="H71" s="76">
        <v>0.12</v>
      </c>
      <c r="I71" s="67">
        <v>99.353642525249597</v>
      </c>
      <c r="J71" s="67">
        <v>176.54045701654013</v>
      </c>
    </row>
    <row r="72" spans="4:10">
      <c r="D72" s="67">
        <v>6</v>
      </c>
      <c r="E72" s="77">
        <v>0</v>
      </c>
      <c r="F72" s="77">
        <v>1200</v>
      </c>
      <c r="G72" s="67"/>
      <c r="H72" s="76">
        <v>0.14000000000000001</v>
      </c>
      <c r="I72" s="67">
        <v>37.286840899745812</v>
      </c>
      <c r="J72" s="67">
        <v>-76.212782159823291</v>
      </c>
    </row>
    <row r="73" spans="4:10">
      <c r="D73" s="67">
        <v>7</v>
      </c>
      <c r="E73" s="77">
        <v>0</v>
      </c>
      <c r="F73" s="77">
        <v>2800</v>
      </c>
      <c r="G73" s="67"/>
      <c r="H73" s="76">
        <v>0.16</v>
      </c>
      <c r="I73" s="67">
        <v>-21.439218251498232</v>
      </c>
      <c r="J73" s="67">
        <v>-298.04006726805505</v>
      </c>
    </row>
    <row r="74" spans="4:10">
      <c r="D74" s="67"/>
      <c r="E74" s="67"/>
      <c r="F74" s="67"/>
      <c r="G74" s="67"/>
      <c r="H74" s="76">
        <v>0.18</v>
      </c>
      <c r="I74" s="67">
        <v>-77.076954968626524</v>
      </c>
      <c r="J74" s="67">
        <v>-493.17288527234791</v>
      </c>
    </row>
    <row r="75" spans="4:10">
      <c r="D75" s="67" t="s">
        <v>119</v>
      </c>
      <c r="E75" s="73">
        <v>0.1</v>
      </c>
      <c r="F75" s="73">
        <f>E75</f>
        <v>0.1</v>
      </c>
      <c r="G75" s="67"/>
      <c r="H75" s="76">
        <v>0.2</v>
      </c>
      <c r="I75" s="67">
        <v>-129.85468106995836</v>
      </c>
      <c r="J75" s="67">
        <v>-665.20204618198431</v>
      </c>
    </row>
    <row r="76" spans="4:10">
      <c r="D76" s="67" t="s">
        <v>74</v>
      </c>
      <c r="E76" s="79">
        <v>0.15257139008519277</v>
      </c>
      <c r="F76" s="79">
        <v>0.13368767530042189</v>
      </c>
      <c r="G76" s="67"/>
      <c r="H76" s="76">
        <v>0.22</v>
      </c>
      <c r="I76" s="67">
        <v>-179.97934850060392</v>
      </c>
      <c r="J76" s="67">
        <v>-817.18368556081828</v>
      </c>
    </row>
    <row r="77" spans="4:10">
      <c r="D77" s="67" t="s">
        <v>73</v>
      </c>
      <c r="E77" s="80">
        <f>NPV(E75,E67:E73)+E66</f>
        <v>165.04088766912309</v>
      </c>
      <c r="F77" s="80">
        <f>NPV(F75,F67:F73)+F66</f>
        <v>465.22137564246623</v>
      </c>
      <c r="G77" s="67"/>
      <c r="H77" s="76">
        <v>0.24</v>
      </c>
      <c r="I77" s="67">
        <v>-227.63893697022309</v>
      </c>
      <c r="J77" s="67">
        <v>-951.72630021118266</v>
      </c>
    </row>
    <row r="78" spans="4:10">
      <c r="D78" s="67"/>
      <c r="E78" s="67"/>
      <c r="F78" s="67"/>
      <c r="G78" s="67"/>
      <c r="H78" s="76">
        <v>0.26</v>
      </c>
      <c r="I78" s="67">
        <v>-273.0045340541235</v>
      </c>
      <c r="J78" s="67">
        <v>-1071.0624562332694</v>
      </c>
    </row>
    <row r="79" spans="4:10">
      <c r="D79" s="67"/>
      <c r="E79" s="67"/>
      <c r="F79" s="67"/>
      <c r="G79" s="67"/>
      <c r="H79" s="76">
        <v>0.28000000000000003</v>
      </c>
      <c r="I79" s="67">
        <v>-316.23215228319168</v>
      </c>
      <c r="J79" s="67">
        <v>-1177.1080650505612</v>
      </c>
    </row>
    <row r="80" spans="4:10">
      <c r="D80" s="67"/>
      <c r="E80" s="67"/>
      <c r="F80" s="67"/>
      <c r="G80" s="67"/>
      <c r="H80" s="76">
        <v>0.3</v>
      </c>
      <c r="I80" s="67">
        <v>-357.4643206308765</v>
      </c>
      <c r="J80" s="67">
        <v>-1271.5115402647689</v>
      </c>
    </row>
    <row r="81" spans="4:4">
      <c r="D81" s="67"/>
    </row>
    <row r="99" spans="2:5">
      <c r="B99" s="78" t="s">
        <v>120</v>
      </c>
      <c r="C99" s="68" t="s">
        <v>121</v>
      </c>
      <c r="D99" s="68"/>
      <c r="E99" s="81"/>
    </row>
    <row r="100" spans="2:5">
      <c r="B100" s="67"/>
      <c r="C100" s="68" t="s">
        <v>122</v>
      </c>
      <c r="D100" s="67"/>
      <c r="E100" s="67"/>
    </row>
    <row r="102" spans="2:5">
      <c r="B102" s="78" t="s">
        <v>123</v>
      </c>
      <c r="C102" s="68" t="s">
        <v>124</v>
      </c>
      <c r="D102" s="67"/>
      <c r="E102" s="67"/>
    </row>
    <row r="103" spans="2:5">
      <c r="B103" s="67"/>
      <c r="C103" s="68" t="s">
        <v>125</v>
      </c>
      <c r="D103" s="67"/>
      <c r="E103" s="67"/>
    </row>
    <row r="104" spans="2:5">
      <c r="B104" s="67"/>
      <c r="C104" s="67"/>
      <c r="D104" s="67"/>
      <c r="E104" s="67"/>
    </row>
    <row r="105" spans="2:5">
      <c r="B105" s="67"/>
      <c r="C105" s="67"/>
      <c r="D105" s="67" t="s">
        <v>126</v>
      </c>
      <c r="E105" s="67"/>
    </row>
    <row r="107" spans="2:5">
      <c r="B107" s="68" t="s">
        <v>127</v>
      </c>
      <c r="C107" s="67"/>
      <c r="D107" s="67"/>
      <c r="E107" s="67"/>
    </row>
    <row r="109" spans="2:5">
      <c r="B109" s="67"/>
      <c r="C109" s="67" t="s">
        <v>128</v>
      </c>
      <c r="D109" s="67"/>
      <c r="E109" s="67"/>
    </row>
    <row r="110" spans="2:5">
      <c r="B110" s="67"/>
      <c r="C110" s="67" t="s">
        <v>129</v>
      </c>
      <c r="D110" s="67"/>
      <c r="E110" s="67"/>
    </row>
    <row r="111" spans="2:5">
      <c r="B111" s="67"/>
      <c r="C111" s="67" t="s">
        <v>130</v>
      </c>
      <c r="D111" s="67"/>
      <c r="E111" s="67"/>
    </row>
    <row r="113" spans="3:10">
      <c r="C113" s="67" t="s">
        <v>131</v>
      </c>
      <c r="D113" s="67"/>
      <c r="E113" s="67"/>
      <c r="F113" s="67"/>
      <c r="G113" s="67"/>
      <c r="H113" s="67"/>
      <c r="I113" s="67"/>
      <c r="J113" s="67"/>
    </row>
    <row r="115" spans="3:10">
      <c r="C115" s="67" t="s">
        <v>113</v>
      </c>
      <c r="D115" s="67"/>
      <c r="E115" s="67"/>
      <c r="F115" s="67"/>
      <c r="G115" s="67"/>
      <c r="H115" s="67"/>
      <c r="I115" s="67"/>
      <c r="J115" s="67"/>
    </row>
    <row r="117" spans="3:10">
      <c r="C117" s="67"/>
      <c r="D117" s="67" t="s">
        <v>27</v>
      </c>
      <c r="E117" s="67"/>
      <c r="F117" s="67"/>
      <c r="G117" s="68" t="s">
        <v>132</v>
      </c>
      <c r="H117" s="67"/>
      <c r="I117" s="67"/>
      <c r="J117" s="67"/>
    </row>
    <row r="118" spans="3:10">
      <c r="C118" s="67"/>
      <c r="D118" s="67">
        <v>0</v>
      </c>
      <c r="E118" s="77">
        <v>-2000</v>
      </c>
      <c r="F118" s="67"/>
      <c r="G118" s="67"/>
      <c r="H118" s="67"/>
      <c r="I118" s="67">
        <v>0</v>
      </c>
      <c r="J118" s="77">
        <v>-2000</v>
      </c>
    </row>
    <row r="119" spans="3:10">
      <c r="C119" s="67"/>
      <c r="D119" s="67">
        <v>1</v>
      </c>
      <c r="E119" s="77">
        <v>1200</v>
      </c>
      <c r="F119" s="67"/>
      <c r="G119" s="70">
        <f>FV($E$125,5-D119,0,-E119)</f>
        <v>1756.9200000000005</v>
      </c>
      <c r="H119" s="67"/>
      <c r="I119" s="67">
        <v>1</v>
      </c>
      <c r="J119" s="77">
        <v>0</v>
      </c>
    </row>
    <row r="120" spans="3:10">
      <c r="C120" s="67"/>
      <c r="D120" s="67">
        <v>2</v>
      </c>
      <c r="E120" s="77">
        <v>900</v>
      </c>
      <c r="F120" s="67"/>
      <c r="G120" s="70">
        <f t="shared" ref="G120:G123" si="0">FV($E$125,5-D120,0,-E120)</f>
        <v>1197.9000000000003</v>
      </c>
      <c r="H120" s="67"/>
      <c r="I120" s="67">
        <v>2</v>
      </c>
      <c r="J120" s="77">
        <v>0</v>
      </c>
    </row>
    <row r="121" spans="3:10">
      <c r="C121" s="67"/>
      <c r="D121" s="67">
        <v>3</v>
      </c>
      <c r="E121" s="77">
        <v>300</v>
      </c>
      <c r="F121" s="67"/>
      <c r="G121" s="70">
        <f t="shared" si="0"/>
        <v>363.00000000000006</v>
      </c>
      <c r="H121" s="67"/>
      <c r="I121" s="67">
        <v>3</v>
      </c>
      <c r="J121" s="77">
        <v>0</v>
      </c>
    </row>
    <row r="122" spans="3:10">
      <c r="C122" s="67"/>
      <c r="D122" s="67">
        <v>4</v>
      </c>
      <c r="E122" s="77">
        <v>90</v>
      </c>
      <c r="F122" s="67"/>
      <c r="G122" s="70">
        <f t="shared" si="0"/>
        <v>99.000000000000014</v>
      </c>
      <c r="H122" s="67"/>
      <c r="I122" s="67">
        <v>4</v>
      </c>
      <c r="J122" s="77">
        <v>0</v>
      </c>
    </row>
    <row r="123" spans="3:10">
      <c r="C123" s="67"/>
      <c r="D123" s="67">
        <v>5</v>
      </c>
      <c r="E123" s="77">
        <v>70</v>
      </c>
      <c r="F123" s="67"/>
      <c r="G123" s="70">
        <f t="shared" si="0"/>
        <v>70</v>
      </c>
      <c r="H123" s="67"/>
      <c r="I123" s="67">
        <v>5</v>
      </c>
      <c r="J123" s="84">
        <f>G124</f>
        <v>3486.8200000000006</v>
      </c>
    </row>
    <row r="124" spans="3:10">
      <c r="C124" s="67"/>
      <c r="D124" s="67"/>
      <c r="E124" s="77"/>
      <c r="F124" s="82" t="s">
        <v>133</v>
      </c>
      <c r="G124" s="70">
        <f>SUM(G119:G123)</f>
        <v>3486.8200000000006</v>
      </c>
      <c r="H124" s="67"/>
      <c r="I124" s="67"/>
      <c r="J124" s="77"/>
    </row>
    <row r="125" spans="3:10">
      <c r="C125" s="67"/>
      <c r="D125" s="67" t="s">
        <v>119</v>
      </c>
      <c r="E125" s="73">
        <v>0.1</v>
      </c>
      <c r="F125" s="67"/>
      <c r="G125" s="67"/>
      <c r="H125" s="67"/>
      <c r="I125" s="67"/>
      <c r="J125" s="85">
        <f>RATE(5,0,J118,J123)</f>
        <v>0.11758330780701567</v>
      </c>
    </row>
    <row r="126" spans="3:10">
      <c r="C126" s="67"/>
      <c r="D126" s="67" t="s">
        <v>74</v>
      </c>
      <c r="E126" s="79">
        <v>0.15257139008519277</v>
      </c>
      <c r="F126" s="67"/>
      <c r="G126" s="67"/>
      <c r="H126" s="67"/>
      <c r="I126" s="67"/>
      <c r="J126" s="67"/>
    </row>
    <row r="127" spans="3:10">
      <c r="C127" s="67"/>
      <c r="D127" s="67" t="s">
        <v>73</v>
      </c>
      <c r="E127" s="80">
        <v>165.04088766912309</v>
      </c>
      <c r="F127" s="82" t="s">
        <v>134</v>
      </c>
      <c r="G127" s="79">
        <v>0.11758330780701567</v>
      </c>
      <c r="H127" s="67"/>
      <c r="I127" s="67"/>
      <c r="J127" s="67"/>
    </row>
    <row r="128" spans="3:10">
      <c r="C128" s="67"/>
      <c r="D128" s="67"/>
      <c r="E128" s="67"/>
      <c r="F128" s="67"/>
      <c r="G128" s="67"/>
      <c r="H128" s="67"/>
      <c r="I128" s="67"/>
      <c r="J128" s="69"/>
    </row>
    <row r="129" spans="3:7">
      <c r="C129" s="67"/>
      <c r="D129" s="67"/>
      <c r="E129" s="67"/>
      <c r="F129" s="67" t="s">
        <v>135</v>
      </c>
      <c r="G129" s="69">
        <f>MIRR(E118:E123,E125,E125)</f>
        <v>0.1175833078062094</v>
      </c>
    </row>
    <row r="131" spans="3:7">
      <c r="C131" s="67" t="s">
        <v>136</v>
      </c>
      <c r="D131" s="67"/>
      <c r="E131" s="67"/>
      <c r="F131" s="67"/>
      <c r="G131" s="67"/>
    </row>
    <row r="132" spans="3:7">
      <c r="C132" s="67" t="s">
        <v>137</v>
      </c>
      <c r="D132" s="67"/>
      <c r="E132" s="67"/>
      <c r="F132" s="67"/>
      <c r="G132" s="67"/>
    </row>
    <row r="133" spans="3:7">
      <c r="C133" s="67" t="s">
        <v>138</v>
      </c>
      <c r="D133" s="67"/>
      <c r="E133" s="67"/>
      <c r="F133" s="67"/>
      <c r="G133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Inputs-Outputs</vt:lpstr>
      <vt:lpstr>CF Detail</vt:lpstr>
      <vt:lpstr>Depn-ATSV</vt:lpstr>
      <vt:lpstr>PAYBACK</vt:lpstr>
      <vt:lpstr>IRR</vt:lpstr>
      <vt:lpstr>Life</vt:lpstr>
      <vt:lpstr>Rate</vt:lpstr>
      <vt:lpstr>Tax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2009-11-16T19:30:08Z</dcterms:modified>
</cp:coreProperties>
</file>